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D:\SAO MAI\KHOA KINH TẾ\Kế hoạch năm học\"/>
    </mc:Choice>
  </mc:AlternateContent>
  <xr:revisionPtr revIDLastSave="0" documentId="13_ncr:1_{BA54BEFE-6CC6-40EF-BB24-B80C6C4B284A}" xr6:coauthVersionLast="47" xr6:coauthVersionMax="47" xr10:uidLastSave="{00000000-0000-0000-0000-000000000000}"/>
  <bookViews>
    <workbookView xWindow="-110" yWindow="-110" windowWidth="19420" windowHeight="10420" firstSheet="10" activeTab="11" xr2:uid="{D8AF0D68-4FEC-4597-ADDB-EE9C18F3BD36}"/>
  </bookViews>
  <sheets>
    <sheet name="Danh muc bieu" sheetId="11" r:id="rId1"/>
    <sheet name="Bieu 1a DH Chinh quy" sheetId="1" r:id="rId2"/>
    <sheet name="Bieu 1b Sau dai hoc" sheetId="2" r:id="rId3"/>
    <sheet name="Bieu 1c VLVH - TX" sheetId="3" r:id="rId4"/>
    <sheet name="Bieu 2a DH va tren DH" sheetId="7" r:id="rId5"/>
    <sheet name="Bieu 2b DT THPT THSP" sheetId="8" r:id="rId6"/>
    <sheet name="Bieu 3a-Tong gio chuan chi tiet" sheetId="10" r:id="rId7"/>
    <sheet name="Bieu 3b tong hop Truong" sheetId="24" r:id="rId8"/>
    <sheet name="Bieu 4-KP thuc hanh thi nghiem" sheetId="12" r:id="rId9"/>
    <sheet name="Bieu5-Nhu cau mua sam sua chua" sheetId="13" r:id="rId10"/>
    <sheet name="Bieu 6 P.TCCB update new" sheetId="21" r:id="rId11"/>
    <sheet name="Bieu7-ke hoach NCKH" sheetId="15" r:id="rId12"/>
    <sheet name="7a-KH xuat ban" sheetId="30" r:id="rId13"/>
    <sheet name="Bieu8-Dao tao ngan han" sheetId="16" r:id="rId14"/>
    <sheet name="Bieu 9a-Tong thu don vi dao tao" sheetId="17" r:id="rId15"/>
    <sheet name="9a Tong thu DH va SDH" sheetId="28" r:id="rId16"/>
    <sheet name="9b Tong thu THPT THSP LHS" sheetId="29" r:id="rId17"/>
    <sheet name="Bieu 9b Tong thu dvi hanh chinh" sheetId="22" r:id="rId18"/>
    <sheet name="Bieu 10-Tong chi" sheetId="18" r:id="rId19"/>
    <sheet name="Bieu 11 Chenh lech thu chi" sheetId="19" r:id="rId20"/>
    <sheet name="Bieu so 12 Chi phi con nguoi" sheetId="20" r:id="rId21"/>
  </sheets>
  <externalReferences>
    <externalReference r:id="rId22"/>
  </externalReferences>
  <definedNames>
    <definedName name="_xlnm.Print_Titles" localSheetId="18">'Bieu 10-Tong chi'!$6:$6</definedName>
    <definedName name="_xlnm.Print_Titles" localSheetId="1">'Bieu 1a DH Chinh quy'!$5:$5</definedName>
    <definedName name="_xlnm.Print_Titles" localSheetId="2">'Bieu 1b Sau dai hoc'!$5:$5</definedName>
    <definedName name="_xlnm.Print_Titles" localSheetId="3">'Bieu 1c VLVH - TX'!$5:$5</definedName>
    <definedName name="_xlnm.Print_Titles" localSheetId="4">'Bieu 2a DH va tren DH'!$7:$9</definedName>
    <definedName name="_xlnm.Print_Titles" localSheetId="5">'Bieu 2b DT THPT THSP'!$7:$9</definedName>
    <definedName name="_xlnm.Print_Titles" localSheetId="7">'Bieu 3b tong hop Truong'!$5:$7</definedName>
    <definedName name="_xlnm.Print_Titles" localSheetId="14">'Bieu 9a-Tong thu don vi dao tao'!$5:$6</definedName>
    <definedName name="_xlnm.Print_Titles" localSheetId="11">'Bieu7-ke hoach NCKH'!$5:$5</definedName>
    <definedName name="_xlnm.Print_Titles" localSheetId="0">'Danh muc bieu'!$5:$5</definedName>
    <definedName name="_xlnm.Print_Area" localSheetId="15">'9a Tong thu DH va SDH'!$A$1:$O$26</definedName>
    <definedName name="_xlnm.Print_Area" localSheetId="18">'Bieu 10-Tong chi'!$A$1:$D$50</definedName>
    <definedName name="_xlnm.Print_Area" localSheetId="19">'Bieu 11 Chenh lech thu chi'!$A$1:$D$19</definedName>
    <definedName name="_xlnm.Print_Area" localSheetId="1">'Bieu 1a DH Chinh quy'!$A$1:$L$118</definedName>
    <definedName name="_xlnm.Print_Area" localSheetId="2">'Bieu 1b Sau dai hoc'!$A$1:$L$97</definedName>
    <definedName name="_xlnm.Print_Area" localSheetId="3">'Bieu 1c VLVH - TX'!$A$1:$L$78</definedName>
    <definedName name="_xlnm.Print_Area" localSheetId="4">'Bieu 2a DH va tren DH'!$A$1:$R$111</definedName>
    <definedName name="_xlnm.Print_Area" localSheetId="5">'Bieu 2b DT THPT THSP'!$A$1:$M$58</definedName>
    <definedName name="_xlnm.Print_Area" localSheetId="6">'Bieu 3a-Tong gio chuan chi tiet'!$A$1:$P$46</definedName>
    <definedName name="_xlnm.Print_Area" localSheetId="7">'Bieu 3b tong hop Truong'!$A$1:$P$56</definedName>
    <definedName name="_xlnm.Print_Area" localSheetId="8">'Bieu 4-KP thuc hanh thi nghiem'!$A$1:$I$31</definedName>
    <definedName name="_xlnm.Print_Area" localSheetId="10">'Bieu 6 P.TCCB update new'!$A$2:$N$57</definedName>
    <definedName name="_xlnm.Print_Area" localSheetId="14">'Bieu 9a-Tong thu don vi dao tao'!$A$5:$F$111</definedName>
    <definedName name="_xlnm.Print_Area" localSheetId="17">'Bieu 9b Tong thu dvi hanh chinh'!$A$1:$F$27</definedName>
    <definedName name="_xlnm.Print_Area" localSheetId="9">'Bieu5-Nhu cau mua sam sua chua'!$A$1:$H$25</definedName>
    <definedName name="_xlnm.Print_Area" localSheetId="11">'Bieu7-ke hoach NCKH'!$A$1:$E$40</definedName>
    <definedName name="_xlnm.Print_Area" localSheetId="13">'Bieu8-Dao tao ngan han'!$A$1:$G$32</definedName>
    <definedName name="_xlnm.Print_Area" localSheetId="0">'Danh muc bieu'!$A$1:$E$25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7" i="10" l="1"/>
  <c r="I15" i="10"/>
  <c r="I31" i="10"/>
  <c r="I19" i="10"/>
  <c r="L16" i="10"/>
  <c r="L17" i="10"/>
  <c r="L18" i="10"/>
  <c r="L20" i="10"/>
  <c r="L21" i="10"/>
  <c r="L22" i="10"/>
  <c r="L23" i="10"/>
  <c r="L24" i="10"/>
  <c r="L25" i="10"/>
  <c r="L26" i="10"/>
  <c r="L27" i="10"/>
  <c r="L28" i="10"/>
  <c r="L29" i="10"/>
  <c r="L30" i="10"/>
  <c r="O16" i="10"/>
  <c r="O17" i="10"/>
  <c r="O18" i="10"/>
  <c r="O19" i="10"/>
  <c r="O20" i="10"/>
  <c r="O21" i="10"/>
  <c r="O22" i="10"/>
  <c r="O23" i="10"/>
  <c r="O24" i="10"/>
  <c r="O25" i="10"/>
  <c r="O26" i="10"/>
  <c r="O27" i="10"/>
  <c r="O28" i="10"/>
  <c r="O29" i="10"/>
  <c r="O30" i="10"/>
  <c r="O31" i="10"/>
  <c r="N16" i="10"/>
  <c r="N17" i="10"/>
  <c r="N18" i="10"/>
  <c r="N19" i="10"/>
  <c r="N20" i="10"/>
  <c r="N21" i="10"/>
  <c r="N22" i="10"/>
  <c r="N23" i="10"/>
  <c r="N24" i="10"/>
  <c r="N25" i="10"/>
  <c r="N26" i="10"/>
  <c r="N27" i="10"/>
  <c r="N28" i="10"/>
  <c r="N29" i="10"/>
  <c r="N30" i="10"/>
  <c r="N31" i="10"/>
  <c r="M19" i="10"/>
  <c r="L19" i="10" s="1"/>
  <c r="M20" i="10"/>
  <c r="M21" i="10"/>
  <c r="M22" i="10"/>
  <c r="M23" i="10"/>
  <c r="M24" i="10"/>
  <c r="M25" i="10"/>
  <c r="M26" i="10"/>
  <c r="M27" i="10"/>
  <c r="M28" i="10"/>
  <c r="M29" i="10"/>
  <c r="M30" i="10"/>
  <c r="M31" i="10"/>
  <c r="L31" i="10" s="1"/>
  <c r="M16" i="10"/>
  <c r="M17" i="10"/>
  <c r="M18" i="10"/>
  <c r="L15" i="10"/>
  <c r="N15" i="10"/>
  <c r="O15" i="10"/>
  <c r="M15" i="10"/>
  <c r="H16" i="10"/>
  <c r="H17" i="10"/>
  <c r="H18" i="10"/>
  <c r="H19" i="10"/>
  <c r="H21" i="10"/>
  <c r="H22" i="10"/>
  <c r="H23" i="10"/>
  <c r="H25" i="10"/>
  <c r="H26" i="10"/>
  <c r="H28" i="10"/>
  <c r="H30" i="10"/>
  <c r="H31" i="10"/>
  <c r="H15" i="10"/>
  <c r="D16" i="10"/>
  <c r="D17" i="10"/>
  <c r="D18" i="10"/>
  <c r="D19" i="10"/>
  <c r="D20" i="10"/>
  <c r="D21" i="10"/>
  <c r="D22" i="10"/>
  <c r="D23" i="10"/>
  <c r="D24" i="10"/>
  <c r="D25" i="10"/>
  <c r="D26" i="10"/>
  <c r="D27" i="10"/>
  <c r="D28" i="10"/>
  <c r="D29" i="10"/>
  <c r="D30" i="10"/>
  <c r="D31" i="10"/>
  <c r="D15" i="10"/>
  <c r="I20" i="10"/>
  <c r="H20" i="10" s="1"/>
  <c r="I29" i="10"/>
  <c r="H29" i="10" s="1"/>
  <c r="H27" i="10"/>
  <c r="I24" i="10"/>
  <c r="H24" i="10" s="1"/>
  <c r="I23" i="7"/>
  <c r="J23" i="7" s="1"/>
  <c r="H23" i="7"/>
  <c r="I22" i="7"/>
  <c r="J22" i="7" s="1"/>
  <c r="H22" i="7"/>
  <c r="I21" i="7"/>
  <c r="J21" i="7" s="1"/>
  <c r="H21" i="7"/>
  <c r="I20" i="7"/>
  <c r="J20" i="7" s="1"/>
  <c r="H20" i="7"/>
  <c r="J19" i="7"/>
  <c r="I19" i="7"/>
  <c r="D19" i="7"/>
  <c r="H19" i="7" s="1"/>
  <c r="J18" i="7"/>
  <c r="I18" i="7"/>
  <c r="H18" i="7"/>
  <c r="I69" i="7"/>
  <c r="I67" i="7"/>
  <c r="I68" i="7"/>
  <c r="I66" i="7"/>
  <c r="I38" i="7"/>
  <c r="J38" i="7" s="1"/>
  <c r="I41" i="7"/>
  <c r="J41" i="7" s="1"/>
  <c r="I42" i="7"/>
  <c r="J42" i="7" s="1"/>
  <c r="I43" i="7"/>
  <c r="J43" i="7" s="1"/>
  <c r="I44" i="7"/>
  <c r="J44" i="7" s="1"/>
  <c r="I45" i="7"/>
  <c r="J45" i="7" s="1"/>
  <c r="I46" i="7"/>
  <c r="J46" i="7" s="1"/>
  <c r="I47" i="7"/>
  <c r="J47" i="7" s="1"/>
  <c r="I48" i="7"/>
  <c r="J48" i="7" s="1"/>
  <c r="I49" i="7"/>
  <c r="J49" i="7" s="1"/>
  <c r="I50" i="7"/>
  <c r="J50" i="7" s="1"/>
  <c r="I51" i="7"/>
  <c r="J51" i="7" s="1"/>
  <c r="I52" i="7"/>
  <c r="J52" i="7" s="1"/>
  <c r="I53" i="7"/>
  <c r="J53" i="7" s="1"/>
  <c r="I54" i="7"/>
  <c r="J54" i="7" s="1"/>
  <c r="I55" i="7"/>
  <c r="J55" i="7" s="1"/>
  <c r="I56" i="7"/>
  <c r="J56" i="7" s="1"/>
  <c r="I57" i="7"/>
  <c r="J57" i="7" s="1"/>
  <c r="I58" i="7"/>
  <c r="J58" i="7" s="1"/>
  <c r="H38" i="7"/>
  <c r="H41" i="7"/>
  <c r="H42" i="7"/>
  <c r="H43" i="7"/>
  <c r="H44" i="7"/>
  <c r="H45" i="7"/>
  <c r="H46" i="7"/>
  <c r="H47" i="7"/>
  <c r="H48" i="7"/>
  <c r="H49" i="7"/>
  <c r="H50" i="7"/>
  <c r="H51" i="7"/>
  <c r="H52" i="7"/>
  <c r="H53" i="7"/>
  <c r="H54" i="7"/>
  <c r="H55" i="7"/>
  <c r="H56" i="7"/>
  <c r="H57" i="7"/>
  <c r="H58" i="7"/>
  <c r="I16" i="7"/>
  <c r="J16" i="7" s="1"/>
  <c r="I17" i="7"/>
  <c r="J17" i="7" s="1"/>
  <c r="I24" i="7"/>
  <c r="J24" i="7" s="1"/>
  <c r="I15" i="7"/>
  <c r="J15" i="7" s="1"/>
  <c r="H16" i="7"/>
  <c r="H17" i="7"/>
  <c r="H24" i="7"/>
  <c r="D15" i="7" l="1"/>
  <c r="H15" i="7" s="1"/>
  <c r="K47" i="2" l="1"/>
  <c r="K46" i="2"/>
  <c r="H15" i="1"/>
  <c r="N38" i="20"/>
  <c r="N37" i="20"/>
  <c r="N36" i="20"/>
  <c r="N34" i="20"/>
  <c r="N35" i="20"/>
  <c r="N32" i="20"/>
  <c r="N31" i="20"/>
  <c r="N30" i="20"/>
  <c r="N29" i="20"/>
  <c r="N28" i="20"/>
  <c r="N26" i="20"/>
  <c r="N25" i="20"/>
  <c r="N24" i="20"/>
  <c r="N23" i="20"/>
  <c r="N22" i="20"/>
  <c r="N20" i="20"/>
  <c r="N19" i="20"/>
  <c r="N18" i="20"/>
  <c r="N17" i="20"/>
  <c r="N16" i="20"/>
  <c r="N15" i="20"/>
  <c r="N14" i="20"/>
  <c r="N13" i="20"/>
  <c r="N12" i="20"/>
  <c r="N11" i="20"/>
  <c r="N10" i="20"/>
  <c r="N9" i="20"/>
  <c r="N8" i="20"/>
  <c r="N7" i="20"/>
  <c r="M38" i="20"/>
  <c r="M37" i="20"/>
  <c r="M36" i="20"/>
  <c r="M35" i="20"/>
  <c r="M34" i="20"/>
  <c r="M32" i="20"/>
  <c r="M31" i="20"/>
  <c r="M30" i="20"/>
  <c r="M29" i="20"/>
  <c r="M28" i="20"/>
  <c r="M26" i="20"/>
  <c r="M25" i="20"/>
  <c r="M24" i="20"/>
  <c r="M23" i="20"/>
  <c r="M22" i="20"/>
  <c r="M20" i="20"/>
  <c r="M19" i="20"/>
  <c r="M18" i="20"/>
  <c r="M17" i="20"/>
  <c r="M16" i="20"/>
  <c r="M15" i="20"/>
  <c r="M14" i="20"/>
  <c r="M13" i="20"/>
  <c r="M12" i="20"/>
  <c r="M11" i="20"/>
  <c r="M10" i="20"/>
  <c r="M9" i="20"/>
  <c r="M8" i="20"/>
  <c r="M7" i="20"/>
  <c r="L38" i="20"/>
  <c r="L37" i="20"/>
  <c r="L36" i="20"/>
  <c r="L35" i="20"/>
  <c r="L34" i="20"/>
  <c r="L32" i="20"/>
  <c r="L31" i="20"/>
  <c r="L30" i="20"/>
  <c r="L29" i="20"/>
  <c r="L28" i="20"/>
  <c r="L26" i="20"/>
  <c r="L25" i="20"/>
  <c r="L24" i="20"/>
  <c r="L23" i="20"/>
  <c r="L22" i="20"/>
  <c r="L20" i="20"/>
  <c r="L19" i="20"/>
  <c r="L18" i="20"/>
  <c r="L17" i="20"/>
  <c r="L16" i="20"/>
  <c r="L15" i="20"/>
  <c r="L14" i="20"/>
  <c r="L13" i="20"/>
  <c r="L12" i="20"/>
  <c r="L11" i="20"/>
  <c r="L10" i="20"/>
  <c r="L9" i="20"/>
  <c r="L8" i="20"/>
  <c r="L7" i="20"/>
  <c r="K38" i="20"/>
  <c r="K37" i="20"/>
  <c r="K36" i="20"/>
  <c r="K35" i="20"/>
  <c r="K34" i="20"/>
  <c r="K32" i="20"/>
  <c r="K31" i="20"/>
  <c r="K30" i="20"/>
  <c r="K29" i="20"/>
  <c r="K28" i="20"/>
  <c r="K26" i="20"/>
  <c r="K25" i="20"/>
  <c r="K24" i="20"/>
  <c r="K23" i="20"/>
  <c r="K22" i="20"/>
  <c r="K20" i="20"/>
  <c r="K19" i="20"/>
  <c r="K18" i="20"/>
  <c r="K17" i="20"/>
  <c r="K16" i="20"/>
  <c r="K15" i="20"/>
  <c r="K14" i="20"/>
  <c r="K13" i="20"/>
  <c r="K12" i="20"/>
  <c r="K11" i="20"/>
  <c r="K10" i="20"/>
  <c r="K9" i="20"/>
  <c r="K8" i="20"/>
  <c r="K7" i="20"/>
  <c r="J12" i="29" l="1"/>
  <c r="J11" i="29"/>
  <c r="J10" i="29"/>
  <c r="C17" i="28" l="1"/>
  <c r="C16" i="28"/>
  <c r="C15" i="28"/>
  <c r="C14" i="28"/>
  <c r="C13" i="28"/>
  <c r="C12" i="28"/>
  <c r="K9" i="29"/>
  <c r="C20" i="29"/>
  <c r="C19" i="29"/>
  <c r="C18" i="29"/>
  <c r="C17" i="29"/>
  <c r="C15" i="29"/>
  <c r="C14" i="29"/>
  <c r="C13" i="29"/>
  <c r="F12" i="29"/>
  <c r="C12" i="29" s="1"/>
  <c r="F11" i="29"/>
  <c r="C11" i="29" s="1"/>
  <c r="F10" i="29"/>
  <c r="C10" i="29" s="1"/>
  <c r="O16" i="28"/>
  <c r="O15" i="28"/>
  <c r="M16" i="28"/>
  <c r="M15" i="28"/>
  <c r="K16" i="28"/>
  <c r="K15" i="28"/>
  <c r="I16" i="28"/>
  <c r="I15" i="28"/>
  <c r="G16" i="28"/>
  <c r="G15" i="28"/>
  <c r="E16" i="28"/>
  <c r="E15" i="28"/>
  <c r="O14" i="28"/>
  <c r="M14" i="28"/>
  <c r="K14" i="28"/>
  <c r="I14" i="28"/>
  <c r="G14" i="28"/>
  <c r="E14" i="28"/>
  <c r="O13" i="28"/>
  <c r="M13" i="28"/>
  <c r="K13" i="28"/>
  <c r="I13" i="28"/>
  <c r="G13" i="28"/>
  <c r="E13" i="28"/>
  <c r="K53" i="24"/>
  <c r="J53" i="24"/>
  <c r="I53" i="24"/>
  <c r="G53" i="24"/>
  <c r="F53" i="24"/>
  <c r="E53" i="24"/>
  <c r="H53" i="24"/>
  <c r="D53" i="24"/>
  <c r="C16" i="29" l="1"/>
  <c r="C9" i="29"/>
  <c r="L53" i="24"/>
  <c r="J50" i="3"/>
  <c r="I50" i="3"/>
  <c r="H50" i="3"/>
  <c r="G50" i="3"/>
  <c r="F50" i="3"/>
  <c r="E50" i="3"/>
  <c r="D50" i="3"/>
  <c r="K50" i="3" s="1"/>
  <c r="J49" i="3"/>
  <c r="I49" i="3"/>
  <c r="H49" i="3"/>
  <c r="G49" i="3"/>
  <c r="F49" i="3"/>
  <c r="E49" i="3"/>
  <c r="D49" i="3"/>
  <c r="K49" i="3" s="1"/>
  <c r="J48" i="3"/>
  <c r="I48" i="3"/>
  <c r="H48" i="3"/>
  <c r="G48" i="3"/>
  <c r="F48" i="3"/>
  <c r="E48" i="3"/>
  <c r="D48" i="3"/>
  <c r="K48" i="3" s="1"/>
  <c r="J47" i="3"/>
  <c r="I47" i="3"/>
  <c r="H47" i="3"/>
  <c r="G47" i="3"/>
  <c r="F47" i="3"/>
  <c r="E47" i="3"/>
  <c r="D47" i="3"/>
  <c r="K47" i="3" s="1"/>
  <c r="J46" i="3"/>
  <c r="I46" i="3"/>
  <c r="H46" i="3"/>
  <c r="G46" i="3"/>
  <c r="F46" i="3"/>
  <c r="E46" i="3"/>
  <c r="D46" i="3"/>
  <c r="K46" i="3" s="1"/>
  <c r="J45" i="3"/>
  <c r="I45" i="3"/>
  <c r="H45" i="3"/>
  <c r="G45" i="3"/>
  <c r="F45" i="3"/>
  <c r="E45" i="3"/>
  <c r="D45" i="3"/>
  <c r="K45" i="3" s="1"/>
  <c r="J44" i="3"/>
  <c r="I44" i="3"/>
  <c r="H44" i="3"/>
  <c r="G44" i="3"/>
  <c r="F44" i="3"/>
  <c r="E44" i="3"/>
  <c r="K43" i="3"/>
  <c r="K42" i="3"/>
  <c r="K41" i="3"/>
  <c r="K40" i="3"/>
  <c r="K39" i="3"/>
  <c r="K38" i="3"/>
  <c r="K37" i="3"/>
  <c r="K36" i="3"/>
  <c r="J36" i="3"/>
  <c r="I36" i="3"/>
  <c r="H36" i="3"/>
  <c r="G36" i="3"/>
  <c r="F36" i="3"/>
  <c r="E36" i="3"/>
  <c r="D36" i="3"/>
  <c r="K35" i="3"/>
  <c r="K34" i="3"/>
  <c r="K33" i="3"/>
  <c r="K32" i="3"/>
  <c r="K31" i="3"/>
  <c r="J30" i="3"/>
  <c r="I30" i="3"/>
  <c r="H30" i="3"/>
  <c r="G30" i="3"/>
  <c r="F30" i="3"/>
  <c r="E30" i="3"/>
  <c r="D30" i="3"/>
  <c r="K30" i="3" s="1"/>
  <c r="D10" i="22"/>
  <c r="D9" i="22"/>
  <c r="E10" i="22"/>
  <c r="E9" i="22"/>
  <c r="D51" i="17"/>
  <c r="E51" i="17" s="1"/>
  <c r="D52" i="17"/>
  <c r="E52" i="17" s="1"/>
  <c r="D49" i="17"/>
  <c r="E49" i="17" s="1"/>
  <c r="D48" i="17"/>
  <c r="E48" i="17" s="1"/>
  <c r="D47" i="17"/>
  <c r="E47" i="17" s="1"/>
  <c r="D103" i="17"/>
  <c r="E103" i="17" s="1"/>
  <c r="D102" i="17"/>
  <c r="E102" i="17" s="1"/>
  <c r="D101" i="17"/>
  <c r="E101" i="17" s="1"/>
  <c r="D100" i="17"/>
  <c r="E100" i="17" s="1"/>
  <c r="D83" i="17"/>
  <c r="E83" i="17" s="1"/>
  <c r="D82" i="17"/>
  <c r="E82" i="17" s="1"/>
  <c r="D81" i="17"/>
  <c r="E81" i="17" s="1"/>
  <c r="E80" i="17"/>
  <c r="D79" i="17"/>
  <c r="E79" i="17" s="1"/>
  <c r="D78" i="17"/>
  <c r="E78" i="17" s="1"/>
  <c r="D77" i="17"/>
  <c r="D75" i="17"/>
  <c r="E75" i="17" s="1"/>
  <c r="D74" i="17"/>
  <c r="E74" i="17" s="1"/>
  <c r="D76" i="17"/>
  <c r="E76" i="17" s="1"/>
  <c r="D72" i="17"/>
  <c r="E72" i="17" s="1"/>
  <c r="D71" i="17"/>
  <c r="E71" i="17" s="1"/>
  <c r="E73" i="17"/>
  <c r="D56" i="17"/>
  <c r="E56" i="17" s="1"/>
  <c r="D44" i="17"/>
  <c r="E44" i="17" s="1"/>
  <c r="D43" i="17"/>
  <c r="E43" i="17" s="1"/>
  <c r="D42" i="17"/>
  <c r="E42" i="17" s="1"/>
  <c r="D45" i="17"/>
  <c r="E45" i="17" s="1"/>
  <c r="D41" i="17"/>
  <c r="E41" i="17" s="1"/>
  <c r="D40" i="17"/>
  <c r="E40" i="17" s="1"/>
  <c r="D37" i="17"/>
  <c r="E37" i="17" s="1"/>
  <c r="D36" i="17"/>
  <c r="E36" i="17" s="1"/>
  <c r="D35" i="17"/>
  <c r="E35" i="17" s="1"/>
  <c r="D38" i="17"/>
  <c r="E38" i="17" s="1"/>
  <c r="D34" i="17"/>
  <c r="E34" i="17" s="1"/>
  <c r="D33" i="17"/>
  <c r="E33" i="17" s="1"/>
  <c r="D31" i="17"/>
  <c r="E31" i="17" s="1"/>
  <c r="D30" i="17"/>
  <c r="E30" i="17" s="1"/>
  <c r="D29" i="17"/>
  <c r="E29" i="17" s="1"/>
  <c r="D28" i="17"/>
  <c r="E28" i="17" s="1"/>
  <c r="D27" i="17"/>
  <c r="E27" i="17" s="1"/>
  <c r="D26" i="17"/>
  <c r="E26" i="17" s="1"/>
  <c r="D24" i="17"/>
  <c r="E24" i="17" s="1"/>
  <c r="D23" i="17"/>
  <c r="E23" i="17" s="1"/>
  <c r="D22" i="17"/>
  <c r="E22" i="17" s="1"/>
  <c r="D21" i="17"/>
  <c r="E21" i="17" s="1"/>
  <c r="D20" i="17"/>
  <c r="E20" i="17" s="1"/>
  <c r="D19" i="17"/>
  <c r="E19" i="17" s="1"/>
  <c r="E16" i="17"/>
  <c r="E68" i="17"/>
  <c r="E69" i="17"/>
  <c r="E67" i="17"/>
  <c r="E66" i="17"/>
  <c r="E65" i="17"/>
  <c r="E64" i="17"/>
  <c r="E17" i="17"/>
  <c r="E14" i="17"/>
  <c r="E13" i="17"/>
  <c r="K86" i="2"/>
  <c r="K85" i="2"/>
  <c r="K84" i="2"/>
  <c r="K83" i="2"/>
  <c r="J82" i="2"/>
  <c r="I82" i="2"/>
  <c r="H82" i="2"/>
  <c r="G82" i="2"/>
  <c r="F82" i="2"/>
  <c r="E82" i="2"/>
  <c r="D82" i="2"/>
  <c r="K77" i="2"/>
  <c r="K76" i="2"/>
  <c r="K75" i="2"/>
  <c r="K74" i="2"/>
  <c r="J73" i="2"/>
  <c r="I73" i="2"/>
  <c r="H73" i="2"/>
  <c r="G73" i="2"/>
  <c r="F73" i="2"/>
  <c r="E73" i="2"/>
  <c r="D73" i="2"/>
  <c r="K70" i="2"/>
  <c r="K69" i="2"/>
  <c r="K68" i="2"/>
  <c r="K67" i="2"/>
  <c r="K66" i="2"/>
  <c r="J66" i="2"/>
  <c r="J80" i="2" s="1"/>
  <c r="D66" i="2"/>
  <c r="D38" i="2"/>
  <c r="D37" i="2"/>
  <c r="K37" i="2" s="1"/>
  <c r="D36" i="2"/>
  <c r="D35" i="2"/>
  <c r="K35" i="2" s="1"/>
  <c r="J34" i="2"/>
  <c r="I34" i="2"/>
  <c r="H34" i="2"/>
  <c r="G34" i="2"/>
  <c r="F34" i="2"/>
  <c r="E34" i="2"/>
  <c r="K32" i="2"/>
  <c r="K31" i="2"/>
  <c r="K29" i="2"/>
  <c r="J28" i="2"/>
  <c r="I28" i="2"/>
  <c r="H28" i="2"/>
  <c r="G28" i="2"/>
  <c r="F28" i="2"/>
  <c r="E28" i="2"/>
  <c r="D28" i="2"/>
  <c r="K27" i="2"/>
  <c r="K25" i="2"/>
  <c r="J24" i="2"/>
  <c r="I24" i="2"/>
  <c r="H24" i="2"/>
  <c r="G24" i="2"/>
  <c r="F24" i="2"/>
  <c r="E24" i="2"/>
  <c r="D24" i="2"/>
  <c r="J102" i="1"/>
  <c r="I102" i="1"/>
  <c r="H102" i="1"/>
  <c r="G102" i="1"/>
  <c r="F102" i="1"/>
  <c r="E102" i="1"/>
  <c r="K102" i="1" s="1"/>
  <c r="D102" i="1"/>
  <c r="D103" i="1"/>
  <c r="D104" i="1"/>
  <c r="D105" i="1"/>
  <c r="J106" i="1"/>
  <c r="I106" i="1"/>
  <c r="H106" i="1"/>
  <c r="G106" i="1"/>
  <c r="F106" i="1"/>
  <c r="E106" i="1"/>
  <c r="D106" i="1"/>
  <c r="D107" i="1"/>
  <c r="J56" i="1"/>
  <c r="I56" i="1"/>
  <c r="H56" i="1"/>
  <c r="G56" i="1"/>
  <c r="E56" i="1"/>
  <c r="D56" i="1"/>
  <c r="J107" i="1"/>
  <c r="I107" i="1"/>
  <c r="H107" i="1"/>
  <c r="G107" i="1"/>
  <c r="F107" i="1"/>
  <c r="E107" i="1"/>
  <c r="J105" i="1"/>
  <c r="I105" i="1"/>
  <c r="H105" i="1"/>
  <c r="G105" i="1"/>
  <c r="F105" i="1"/>
  <c r="E105" i="1"/>
  <c r="J104" i="1"/>
  <c r="I104" i="1"/>
  <c r="H104" i="1"/>
  <c r="G104" i="1"/>
  <c r="F104" i="1"/>
  <c r="E104" i="1"/>
  <c r="J103" i="1"/>
  <c r="I103" i="1"/>
  <c r="H103" i="1"/>
  <c r="G103" i="1"/>
  <c r="F103" i="1"/>
  <c r="E103" i="1"/>
  <c r="I101" i="1"/>
  <c r="H101" i="1"/>
  <c r="J101" i="1"/>
  <c r="K100" i="1"/>
  <c r="K99" i="1"/>
  <c r="K97" i="1"/>
  <c r="K96" i="1"/>
  <c r="K95" i="1"/>
  <c r="K94" i="1"/>
  <c r="J93" i="1"/>
  <c r="I93" i="1"/>
  <c r="H93" i="1"/>
  <c r="G93" i="1"/>
  <c r="F93" i="1"/>
  <c r="E93" i="1"/>
  <c r="D93" i="1"/>
  <c r="K91" i="1"/>
  <c r="K90" i="1"/>
  <c r="K89" i="1"/>
  <c r="K88" i="1"/>
  <c r="J87" i="1"/>
  <c r="I87" i="1"/>
  <c r="H87" i="1"/>
  <c r="G87" i="1"/>
  <c r="F87" i="1"/>
  <c r="E87" i="1"/>
  <c r="D87" i="1"/>
  <c r="J74" i="1"/>
  <c r="I74" i="1"/>
  <c r="H74" i="1"/>
  <c r="G74" i="1"/>
  <c r="F74" i="1"/>
  <c r="E74" i="1"/>
  <c r="D74" i="1"/>
  <c r="J85" i="1"/>
  <c r="J81" i="1" s="1"/>
  <c r="I85" i="1"/>
  <c r="I81" i="1" s="1"/>
  <c r="H85" i="1"/>
  <c r="H81" i="1" s="1"/>
  <c r="G85" i="1"/>
  <c r="G81" i="1" s="1"/>
  <c r="F85" i="1"/>
  <c r="F81" i="1" s="1"/>
  <c r="E85" i="1"/>
  <c r="E81" i="1" s="1"/>
  <c r="D85" i="1"/>
  <c r="D81" i="1" s="1"/>
  <c r="K83" i="1"/>
  <c r="K82" i="1"/>
  <c r="K80" i="1"/>
  <c r="K79" i="1"/>
  <c r="K77" i="1"/>
  <c r="K76" i="1"/>
  <c r="K75" i="1"/>
  <c r="K72" i="1"/>
  <c r="K71" i="1"/>
  <c r="K70" i="1"/>
  <c r="J69" i="1"/>
  <c r="I69" i="1"/>
  <c r="H69" i="1"/>
  <c r="G69" i="1"/>
  <c r="F69" i="1"/>
  <c r="E69" i="1"/>
  <c r="D69" i="1"/>
  <c r="K65" i="1"/>
  <c r="K64" i="1"/>
  <c r="K59" i="1"/>
  <c r="K58" i="1"/>
  <c r="K57" i="1"/>
  <c r="J51" i="1"/>
  <c r="I51" i="1"/>
  <c r="H51" i="1"/>
  <c r="G51" i="1"/>
  <c r="F51" i="1"/>
  <c r="E51" i="1"/>
  <c r="D51" i="1"/>
  <c r="J67" i="1"/>
  <c r="J63" i="1" s="1"/>
  <c r="I67" i="1"/>
  <c r="I63" i="1" s="1"/>
  <c r="H67" i="1"/>
  <c r="H63" i="1" s="1"/>
  <c r="G67" i="1"/>
  <c r="G63" i="1" s="1"/>
  <c r="F67" i="1"/>
  <c r="F63" i="1" s="1"/>
  <c r="E67" i="1"/>
  <c r="E63" i="1" s="1"/>
  <c r="D67" i="1"/>
  <c r="D63" i="1" s="1"/>
  <c r="K62" i="1"/>
  <c r="K61" i="1"/>
  <c r="K54" i="1"/>
  <c r="K53" i="1"/>
  <c r="K52" i="1"/>
  <c r="J48" i="1"/>
  <c r="I48" i="1"/>
  <c r="H48" i="1"/>
  <c r="G48" i="1"/>
  <c r="F48" i="1"/>
  <c r="E48" i="1"/>
  <c r="D48" i="1"/>
  <c r="E105" i="17"/>
  <c r="D98" i="17"/>
  <c r="E98" i="17" s="1"/>
  <c r="D97" i="17"/>
  <c r="E97" i="17" s="1"/>
  <c r="D96" i="17"/>
  <c r="E96" i="17" s="1"/>
  <c r="D95" i="17"/>
  <c r="E95" i="17" s="1"/>
  <c r="D93" i="17"/>
  <c r="E93" i="17" s="1"/>
  <c r="D92" i="17"/>
  <c r="E92" i="17" s="1"/>
  <c r="D91" i="17"/>
  <c r="E91" i="17" s="1"/>
  <c r="D90" i="17"/>
  <c r="E90" i="17" s="1"/>
  <c r="D89" i="17"/>
  <c r="E89" i="17" s="1"/>
  <c r="D87" i="17"/>
  <c r="E87" i="17" s="1"/>
  <c r="D86" i="17"/>
  <c r="E86" i="17" s="1"/>
  <c r="D85" i="17"/>
  <c r="E85" i="17" s="1"/>
  <c r="D57" i="17"/>
  <c r="E57" i="17" s="1"/>
  <c r="D55" i="17"/>
  <c r="E55" i="17" s="1"/>
  <c r="D54" i="17"/>
  <c r="E54" i="17" s="1"/>
  <c r="E15" i="17"/>
  <c r="E12" i="17"/>
  <c r="C16" i="19"/>
  <c r="C15" i="19"/>
  <c r="C14" i="19"/>
  <c r="C13" i="19"/>
  <c r="C10" i="19"/>
  <c r="C9" i="19"/>
  <c r="C8" i="19"/>
  <c r="C37" i="18"/>
  <c r="C35" i="18"/>
  <c r="C34" i="18"/>
  <c r="C24" i="18"/>
  <c r="C19" i="18" s="1"/>
  <c r="C10" i="18"/>
  <c r="C8" i="18" s="1"/>
  <c r="M74" i="20"/>
  <c r="L74" i="20"/>
  <c r="K74" i="20"/>
  <c r="F74" i="20"/>
  <c r="E74" i="20"/>
  <c r="D74" i="20"/>
  <c r="C74" i="20"/>
  <c r="N73" i="20"/>
  <c r="N72" i="20"/>
  <c r="N41" i="20"/>
  <c r="N40" i="20"/>
  <c r="N39" i="20"/>
  <c r="N44" i="20"/>
  <c r="N45" i="20"/>
  <c r="N71" i="20"/>
  <c r="N70" i="20"/>
  <c r="N69" i="20"/>
  <c r="N68" i="20"/>
  <c r="N67" i="20"/>
  <c r="N66" i="20"/>
  <c r="N65" i="20"/>
  <c r="N64" i="20"/>
  <c r="N63" i="20"/>
  <c r="N62" i="20"/>
  <c r="N61" i="20"/>
  <c r="N60" i="20"/>
  <c r="N59" i="20"/>
  <c r="N58" i="20"/>
  <c r="N57" i="20"/>
  <c r="N42" i="20"/>
  <c r="N56" i="20"/>
  <c r="N55" i="20"/>
  <c r="N43" i="20"/>
  <c r="N54" i="20"/>
  <c r="N53" i="20"/>
  <c r="N52" i="20"/>
  <c r="N51" i="20"/>
  <c r="N50" i="20"/>
  <c r="N49" i="20"/>
  <c r="F27" i="16"/>
  <c r="K43" i="10"/>
  <c r="J43" i="10"/>
  <c r="I43" i="10"/>
  <c r="G43" i="10"/>
  <c r="F43" i="10"/>
  <c r="E43" i="10"/>
  <c r="L39" i="10"/>
  <c r="H39" i="10"/>
  <c r="D39" i="10"/>
  <c r="I34" i="8"/>
  <c r="J34" i="8" s="1"/>
  <c r="J33" i="8" s="1"/>
  <c r="L33" i="8"/>
  <c r="K33" i="8"/>
  <c r="H33" i="8"/>
  <c r="G33" i="8"/>
  <c r="F33" i="8"/>
  <c r="I30" i="8"/>
  <c r="I29" i="8" s="1"/>
  <c r="L29" i="8"/>
  <c r="L28" i="8" s="1"/>
  <c r="K29" i="8"/>
  <c r="H29" i="8"/>
  <c r="G29" i="8"/>
  <c r="G28" i="8" s="1"/>
  <c r="F29" i="8"/>
  <c r="F28" i="8" s="1"/>
  <c r="K28" i="8"/>
  <c r="H28" i="8"/>
  <c r="J16" i="8"/>
  <c r="I16" i="8"/>
  <c r="I15" i="8" s="1"/>
  <c r="L15" i="8"/>
  <c r="K15" i="8"/>
  <c r="J15" i="8"/>
  <c r="H15" i="8"/>
  <c r="G15" i="8"/>
  <c r="F15" i="8"/>
  <c r="F10" i="8" s="1"/>
  <c r="I12" i="8"/>
  <c r="J12" i="8" s="1"/>
  <c r="J11" i="8" s="1"/>
  <c r="J10" i="8" s="1"/>
  <c r="L11" i="8"/>
  <c r="K11" i="8"/>
  <c r="H11" i="8"/>
  <c r="G11" i="8"/>
  <c r="G10" i="8" s="1"/>
  <c r="F11" i="8"/>
  <c r="L10" i="8"/>
  <c r="H10" i="8"/>
  <c r="L43" i="10" l="1"/>
  <c r="H43" i="10"/>
  <c r="D43" i="10"/>
  <c r="N74" i="20"/>
  <c r="D44" i="3"/>
  <c r="K44" i="3" s="1"/>
  <c r="I33" i="8"/>
  <c r="I28" i="8" s="1"/>
  <c r="K10" i="8"/>
  <c r="K82" i="2"/>
  <c r="D80" i="2"/>
  <c r="K80" i="2" s="1"/>
  <c r="K73" i="2"/>
  <c r="K24" i="2"/>
  <c r="D34" i="2"/>
  <c r="K34" i="2" s="1"/>
  <c r="K28" i="2"/>
  <c r="E101" i="1"/>
  <c r="G101" i="1"/>
  <c r="K93" i="1"/>
  <c r="K87" i="1"/>
  <c r="D101" i="1"/>
  <c r="F101" i="1"/>
  <c r="K103" i="1"/>
  <c r="K104" i="1"/>
  <c r="K105" i="1"/>
  <c r="K106" i="1"/>
  <c r="K107" i="1"/>
  <c r="K101" i="1"/>
  <c r="K85" i="1"/>
  <c r="K69" i="1"/>
  <c r="K81" i="1"/>
  <c r="K74" i="1"/>
  <c r="K51" i="1"/>
  <c r="K67" i="1"/>
  <c r="K56" i="1"/>
  <c r="K48" i="1"/>
  <c r="C33" i="18"/>
  <c r="C7" i="18" s="1"/>
  <c r="C7" i="19"/>
  <c r="E104" i="17"/>
  <c r="E7" i="17" s="1"/>
  <c r="C12" i="19"/>
  <c r="I11" i="8"/>
  <c r="I10" i="8" s="1"/>
  <c r="J30" i="8"/>
  <c r="J29" i="8" s="1"/>
  <c r="J28" i="8" s="1"/>
  <c r="Q92" i="7"/>
  <c r="P92" i="7"/>
  <c r="O92" i="7"/>
  <c r="N92" i="7"/>
  <c r="M92" i="7"/>
  <c r="L92" i="7"/>
  <c r="K92" i="7"/>
  <c r="J92" i="7"/>
  <c r="I92" i="7"/>
  <c r="F92" i="7"/>
  <c r="J72" i="3"/>
  <c r="I72" i="3"/>
  <c r="H72" i="3"/>
  <c r="G72" i="3"/>
  <c r="F72" i="3"/>
  <c r="E72" i="3"/>
  <c r="D72" i="3"/>
  <c r="J71" i="3"/>
  <c r="I71" i="3"/>
  <c r="H71" i="3"/>
  <c r="G71" i="3"/>
  <c r="F71" i="3"/>
  <c r="E71" i="3"/>
  <c r="D71" i="3"/>
  <c r="J70" i="3"/>
  <c r="I70" i="3"/>
  <c r="H70" i="3"/>
  <c r="G70" i="3"/>
  <c r="F70" i="3"/>
  <c r="E70" i="3"/>
  <c r="D70" i="3"/>
  <c r="J69" i="3"/>
  <c r="I69" i="3"/>
  <c r="H69" i="3"/>
  <c r="G69" i="3"/>
  <c r="F69" i="3"/>
  <c r="E69" i="3"/>
  <c r="D69" i="3"/>
  <c r="J68" i="3"/>
  <c r="I68" i="3"/>
  <c r="H68" i="3"/>
  <c r="G68" i="3"/>
  <c r="F68" i="3"/>
  <c r="E68" i="3"/>
  <c r="D68" i="3"/>
  <c r="J67" i="3"/>
  <c r="I67" i="3"/>
  <c r="H67" i="3"/>
  <c r="G67" i="3"/>
  <c r="F67" i="3"/>
  <c r="E67" i="3"/>
  <c r="D67" i="3"/>
  <c r="K65" i="3"/>
  <c r="K64" i="3"/>
  <c r="K63" i="3"/>
  <c r="K62" i="3"/>
  <c r="K61" i="3"/>
  <c r="K60" i="3"/>
  <c r="K59" i="3"/>
  <c r="J58" i="3"/>
  <c r="I58" i="3"/>
  <c r="H58" i="3"/>
  <c r="G58" i="3"/>
  <c r="F58" i="3"/>
  <c r="E58" i="3"/>
  <c r="D58" i="3"/>
  <c r="K57" i="3"/>
  <c r="K56" i="3"/>
  <c r="K55" i="3"/>
  <c r="K54" i="3"/>
  <c r="K53" i="3"/>
  <c r="J52" i="3"/>
  <c r="I52" i="3"/>
  <c r="H52" i="3"/>
  <c r="G52" i="3"/>
  <c r="F52" i="3"/>
  <c r="E52" i="3"/>
  <c r="D52" i="3"/>
  <c r="J28" i="3"/>
  <c r="I28" i="3"/>
  <c r="H28" i="3"/>
  <c r="G28" i="3"/>
  <c r="F28" i="3"/>
  <c r="E28" i="3"/>
  <c r="D28" i="3"/>
  <c r="J27" i="3"/>
  <c r="I27" i="3"/>
  <c r="H27" i="3"/>
  <c r="G27" i="3"/>
  <c r="F27" i="3"/>
  <c r="E27" i="3"/>
  <c r="D27" i="3"/>
  <c r="J26" i="3"/>
  <c r="I26" i="3"/>
  <c r="H26" i="3"/>
  <c r="G26" i="3"/>
  <c r="F26" i="3"/>
  <c r="E26" i="3"/>
  <c r="D26" i="3"/>
  <c r="J25" i="3"/>
  <c r="I25" i="3"/>
  <c r="H25" i="3"/>
  <c r="G25" i="3"/>
  <c r="F25" i="3"/>
  <c r="E25" i="3"/>
  <c r="D25" i="3"/>
  <c r="J24" i="3"/>
  <c r="I24" i="3"/>
  <c r="H24" i="3"/>
  <c r="G24" i="3"/>
  <c r="F24" i="3"/>
  <c r="E24" i="3"/>
  <c r="D24" i="3"/>
  <c r="J23" i="3"/>
  <c r="I23" i="3"/>
  <c r="H23" i="3"/>
  <c r="G23" i="3"/>
  <c r="F23" i="3"/>
  <c r="E23" i="3"/>
  <c r="E22" i="3" s="1"/>
  <c r="D23" i="3"/>
  <c r="K21" i="3"/>
  <c r="K20" i="3"/>
  <c r="K19" i="3"/>
  <c r="K18" i="3"/>
  <c r="K17" i="3"/>
  <c r="K16" i="3"/>
  <c r="K15" i="3"/>
  <c r="J14" i="3"/>
  <c r="I14" i="3"/>
  <c r="H14" i="3"/>
  <c r="G14" i="3"/>
  <c r="F14" i="3"/>
  <c r="E14" i="3"/>
  <c r="D14" i="3"/>
  <c r="K13" i="3"/>
  <c r="K12" i="3"/>
  <c r="K11" i="3"/>
  <c r="K10" i="3"/>
  <c r="K9" i="3"/>
  <c r="J8" i="3"/>
  <c r="I8" i="3"/>
  <c r="H8" i="3"/>
  <c r="G8" i="3"/>
  <c r="F8" i="3"/>
  <c r="E8" i="3"/>
  <c r="D8" i="3"/>
  <c r="K61" i="2"/>
  <c r="K60" i="2"/>
  <c r="K59" i="2"/>
  <c r="K58" i="2"/>
  <c r="J57" i="2"/>
  <c r="I57" i="2"/>
  <c r="H57" i="2"/>
  <c r="G57" i="2"/>
  <c r="F57" i="2"/>
  <c r="E57" i="2"/>
  <c r="D57" i="2"/>
  <c r="K52" i="2"/>
  <c r="K51" i="2"/>
  <c r="K50" i="2"/>
  <c r="K49" i="2"/>
  <c r="J48" i="2"/>
  <c r="I48" i="2"/>
  <c r="H48" i="2"/>
  <c r="G48" i="2"/>
  <c r="F48" i="2"/>
  <c r="E48" i="2"/>
  <c r="D48" i="2"/>
  <c r="K45" i="2"/>
  <c r="K44" i="2"/>
  <c r="K43" i="2"/>
  <c r="K42" i="2"/>
  <c r="J41" i="2"/>
  <c r="D41" i="2"/>
  <c r="D22" i="2"/>
  <c r="D21" i="2"/>
  <c r="K21" i="2" s="1"/>
  <c r="K19" i="2"/>
  <c r="J18" i="2"/>
  <c r="I18" i="2"/>
  <c r="H18" i="2"/>
  <c r="G18" i="2"/>
  <c r="F18" i="2"/>
  <c r="E18" i="2"/>
  <c r="K16" i="2"/>
  <c r="K15" i="2"/>
  <c r="K13" i="2"/>
  <c r="J12" i="2"/>
  <c r="I12" i="2"/>
  <c r="H12" i="2"/>
  <c r="G12" i="2"/>
  <c r="F12" i="2"/>
  <c r="E12" i="2"/>
  <c r="D12" i="2"/>
  <c r="K11" i="2"/>
  <c r="K9" i="2"/>
  <c r="J8" i="2"/>
  <c r="I8" i="2"/>
  <c r="H8" i="2"/>
  <c r="G8" i="2"/>
  <c r="F8" i="2"/>
  <c r="E8" i="2"/>
  <c r="D8" i="2"/>
  <c r="J49" i="1"/>
  <c r="I49" i="1"/>
  <c r="H49" i="1"/>
  <c r="G49" i="1"/>
  <c r="F49" i="1"/>
  <c r="E49" i="1"/>
  <c r="D49" i="1"/>
  <c r="J47" i="1"/>
  <c r="I47" i="1"/>
  <c r="H47" i="1"/>
  <c r="G47" i="1"/>
  <c r="F47" i="1"/>
  <c r="E47" i="1"/>
  <c r="D47" i="1"/>
  <c r="J46" i="1"/>
  <c r="I46" i="1"/>
  <c r="H46" i="1"/>
  <c r="G46" i="1"/>
  <c r="F46" i="1"/>
  <c r="E46" i="1"/>
  <c r="D46" i="1"/>
  <c r="K44" i="1"/>
  <c r="K43" i="1"/>
  <c r="K42" i="1"/>
  <c r="K41" i="1"/>
  <c r="K40" i="1"/>
  <c r="K39" i="1"/>
  <c r="J38" i="1"/>
  <c r="I38" i="1"/>
  <c r="H38" i="1"/>
  <c r="G38" i="1"/>
  <c r="F38" i="1"/>
  <c r="E38" i="1"/>
  <c r="D38" i="1"/>
  <c r="K37" i="1"/>
  <c r="K36" i="1"/>
  <c r="K35" i="1"/>
  <c r="K34" i="1"/>
  <c r="J33" i="1"/>
  <c r="I33" i="1"/>
  <c r="H33" i="1"/>
  <c r="G33" i="1"/>
  <c r="F33" i="1"/>
  <c r="E33" i="1"/>
  <c r="D33" i="1"/>
  <c r="J31" i="1"/>
  <c r="I31" i="1"/>
  <c r="H31" i="1"/>
  <c r="G31" i="1"/>
  <c r="F31" i="1"/>
  <c r="E31" i="1"/>
  <c r="D31" i="1"/>
  <c r="J30" i="1"/>
  <c r="I30" i="1"/>
  <c r="H30" i="1"/>
  <c r="G30" i="1"/>
  <c r="F30" i="1"/>
  <c r="E30" i="1"/>
  <c r="D30" i="1"/>
  <c r="J29" i="1"/>
  <c r="I29" i="1"/>
  <c r="H29" i="1"/>
  <c r="G29" i="1"/>
  <c r="F29" i="1"/>
  <c r="E29" i="1"/>
  <c r="D29" i="1"/>
  <c r="J28" i="1"/>
  <c r="I28" i="1"/>
  <c r="H28" i="1"/>
  <c r="G28" i="1"/>
  <c r="F28" i="1"/>
  <c r="E28" i="1"/>
  <c r="D28" i="1"/>
  <c r="J27" i="1"/>
  <c r="I27" i="1"/>
  <c r="H27" i="1"/>
  <c r="G27" i="1"/>
  <c r="F27" i="1"/>
  <c r="E27" i="1"/>
  <c r="D27" i="1"/>
  <c r="J26" i="1"/>
  <c r="I26" i="1"/>
  <c r="H26" i="1"/>
  <c r="G26" i="1"/>
  <c r="F26" i="1"/>
  <c r="E26" i="1"/>
  <c r="D26" i="1"/>
  <c r="J25" i="1"/>
  <c r="I25" i="1"/>
  <c r="H25" i="1"/>
  <c r="G25" i="1"/>
  <c r="F25" i="1"/>
  <c r="E25" i="1"/>
  <c r="D25" i="1"/>
  <c r="K23" i="1"/>
  <c r="K22" i="1"/>
  <c r="K20" i="1"/>
  <c r="K19" i="1"/>
  <c r="K18" i="1"/>
  <c r="K17" i="1"/>
  <c r="K16" i="1"/>
  <c r="J15" i="1"/>
  <c r="I15" i="1"/>
  <c r="G15" i="1"/>
  <c r="F15" i="1"/>
  <c r="E15" i="1"/>
  <c r="D15" i="1"/>
  <c r="K13" i="1"/>
  <c r="K12" i="1"/>
  <c r="K11" i="1"/>
  <c r="K10" i="1"/>
  <c r="K9" i="1"/>
  <c r="J8" i="1"/>
  <c r="I8" i="1"/>
  <c r="H8" i="1"/>
  <c r="G8" i="1"/>
  <c r="F8" i="1"/>
  <c r="E8" i="1"/>
  <c r="D8" i="1"/>
  <c r="J22" i="3" l="1"/>
  <c r="K58" i="3"/>
  <c r="F66" i="3"/>
  <c r="G66" i="3"/>
  <c r="H66" i="3"/>
  <c r="K68" i="3"/>
  <c r="E66" i="3"/>
  <c r="F22" i="3"/>
  <c r="K52" i="3"/>
  <c r="I22" i="3"/>
  <c r="K26" i="3"/>
  <c r="K27" i="3"/>
  <c r="K69" i="3"/>
  <c r="D66" i="3"/>
  <c r="K25" i="3"/>
  <c r="K14" i="3"/>
  <c r="D22" i="3"/>
  <c r="K24" i="3"/>
  <c r="K72" i="3"/>
  <c r="G22" i="3"/>
  <c r="I66" i="3"/>
  <c r="K70" i="3"/>
  <c r="K71" i="3"/>
  <c r="H22" i="3"/>
  <c r="K22" i="3" s="1"/>
  <c r="K8" i="3"/>
  <c r="K28" i="3"/>
  <c r="J66" i="3"/>
  <c r="K57" i="2"/>
  <c r="K48" i="2"/>
  <c r="D55" i="2"/>
  <c r="J55" i="2"/>
  <c r="D18" i="2"/>
  <c r="K18" i="2" s="1"/>
  <c r="K8" i="2"/>
  <c r="K12" i="2"/>
  <c r="K63" i="1"/>
  <c r="F24" i="1"/>
  <c r="D45" i="1"/>
  <c r="J45" i="1"/>
  <c r="E24" i="1"/>
  <c r="I24" i="1"/>
  <c r="K30" i="1"/>
  <c r="K8" i="1"/>
  <c r="K33" i="1"/>
  <c r="E45" i="1"/>
  <c r="K15" i="1"/>
  <c r="K27" i="1"/>
  <c r="K28" i="1"/>
  <c r="K38" i="1"/>
  <c r="G45" i="1"/>
  <c r="K49" i="1"/>
  <c r="H24" i="1"/>
  <c r="G24" i="1"/>
  <c r="K29" i="1"/>
  <c r="H45" i="1"/>
  <c r="K25" i="1"/>
  <c r="J24" i="1"/>
  <c r="K26" i="1"/>
  <c r="K31" i="1"/>
  <c r="K46" i="1"/>
  <c r="I45" i="1"/>
  <c r="F45" i="1"/>
  <c r="K47" i="1"/>
  <c r="C17" i="19"/>
  <c r="K23" i="3"/>
  <c r="K67" i="3"/>
  <c r="K41" i="2"/>
  <c r="D24" i="1"/>
  <c r="K66" i="3" l="1"/>
  <c r="K55" i="2"/>
  <c r="K45" i="1"/>
  <c r="K2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M9" authorId="0" shapeId="0" xr:uid="{988A30A9-78D0-481B-AB2E-3A7B4F8A68AC}">
      <text>
        <r>
          <rPr>
            <b/>
            <sz val="9"/>
            <color indexed="81"/>
            <rFont val="Tahoma"/>
            <family val="2"/>
          </rPr>
          <t>HOANG NGUYEN:</t>
        </r>
        <r>
          <rPr>
            <sz val="9"/>
            <color indexed="81"/>
            <rFont val="Tahoma"/>
            <family val="2"/>
          </rPr>
          <t xml:space="preserve">
Các chỉ tiêu từ 12 - 16 lấy từ biểu số 3</t>
        </r>
      </text>
    </comment>
  </commentList>
</comments>
</file>

<file path=xl/sharedStrings.xml><?xml version="1.0" encoding="utf-8"?>
<sst xmlns="http://schemas.openxmlformats.org/spreadsheetml/2006/main" count="2244" uniqueCount="912">
  <si>
    <t>TRƯỜNG ĐẠI HỌC VINH</t>
  </si>
  <si>
    <t>Biểu số 1</t>
  </si>
  <si>
    <t>Tên đơn vị:………..………</t>
  </si>
  <si>
    <t>QUY MÔ ĐÀO TẠO SINH VIÊN CHÍNH QUY NĂM 2022</t>
  </si>
  <si>
    <t xml:space="preserve">Đơn vị tính: sinh viên, học viên </t>
  </si>
  <si>
    <t>STT</t>
  </si>
  <si>
    <t>Nội dung</t>
  </si>
  <si>
    <t>Đơn vị tính</t>
  </si>
  <si>
    <t>Khối ngành 1</t>
  </si>
  <si>
    <t>Khối ngành 2</t>
  </si>
  <si>
    <t>Khối ngành 3</t>
  </si>
  <si>
    <t>Khối ngành 4</t>
  </si>
  <si>
    <t>Khối ngành 5</t>
  </si>
  <si>
    <t>Khối ngành 6</t>
  </si>
  <si>
    <t>Khối ngành 7</t>
  </si>
  <si>
    <t>Cộng toàn đơn vị</t>
  </si>
  <si>
    <t>Ghi chú</t>
  </si>
  <si>
    <t>A</t>
  </si>
  <si>
    <t xml:space="preserve">Đào tạo chính quy </t>
  </si>
  <si>
    <t>I</t>
  </si>
  <si>
    <t>Đại học chính quy</t>
  </si>
  <si>
    <t>1.1</t>
  </si>
  <si>
    <t>Số SV có mặt ngày 01/01/2022 theo khối ngành, gồm:
(Tổng số sinh viên mục này chính là quy mô sinh viên có mặt học kỳ II năm học 2021-2022 từ tháng 1-6/2022)</t>
  </si>
  <si>
    <t>Sinh viên</t>
  </si>
  <si>
    <t>.- Khóa 58 CN và khóa 57 về trước</t>
  </si>
  <si>
    <t>.- Khóa 58 (kỹ sư)</t>
  </si>
  <si>
    <t>.- Khóa 59 (Tuyển sinh năm 2018)</t>
  </si>
  <si>
    <t>.- Khóa 60 (Tuyển sinh năm 2019)</t>
  </si>
  <si>
    <t>.- Khóa 61 (Tuyển sinh năm 2020)</t>
  </si>
  <si>
    <t>.- Khóa 62 (Tuyển sinh năm 2021)</t>
  </si>
  <si>
    <t>1.2</t>
  </si>
  <si>
    <t>Sinh viên tốt nghiệp / thôi học / xóa tên năm 2022 
(Tính dự kiến số thôi học, tốt nghiệp, xóa tên, kỷ luật trong cả năm 2022)</t>
  </si>
  <si>
    <t>1.3</t>
  </si>
  <si>
    <t>Sinh viên tuyển mới năm 2022 theo khối ngành
(Tính dự kiến tổng số tuyển mới trong năm 2022)</t>
  </si>
  <si>
    <t>.- Khóa 63 (Dự kiến tuyển năm 2022)</t>
  </si>
  <si>
    <t>1.4</t>
  </si>
  <si>
    <t>Số sinh viên có mặt ngày 31/12/2022 theo khối ngành, gồm:
(Số sinh viên này được coi là quy mô sinh viên có mặt học kỳ I năm học 2022-2023 từ tháng 9-12/2022)</t>
  </si>
  <si>
    <t>.- Khóa 59</t>
  </si>
  <si>
    <t>.- Khóa 60</t>
  </si>
  <si>
    <t>.- Khóa 61</t>
  </si>
  <si>
    <t>.- Khóa 62</t>
  </si>
  <si>
    <t>II</t>
  </si>
  <si>
    <t>Nghệ An, ngày       tháng       năm 2021</t>
  </si>
  <si>
    <t>TRƯỞNG ĐƠN VỊ</t>
  </si>
  <si>
    <t>QUY MÔ ĐÀO TẠO SAU ĐẠI HỌC NĂM 2022</t>
  </si>
  <si>
    <t>ĐÀO TẠO THẠC SỸ</t>
  </si>
  <si>
    <t>Số học viên có mặt ngày 01/01/2022 theo khối ngành, gồm:
(Tổng số học viên mục này chính là quy mô học viên có mặt học kỳ II năm học 2021-2022 từ tháng 1-6/2022)</t>
  </si>
  <si>
    <t>Học viên</t>
  </si>
  <si>
    <t>.- Khóa 27 trở  về trước (tuyển sinh năm 2019 trở về trước)</t>
  </si>
  <si>
    <t>.- Khóa 28 (tuyển sinh năm 2020)</t>
  </si>
  <si>
    <t>.- Khóa 29 (tuyển sinh năm 2021)</t>
  </si>
  <si>
    <t>Học viên tốt nghiệp / thôi học / xóa tên năm 2022 
(Tính dự kiến số thôi học, tốt nghiệp, xóa tên, kỷ luật trong cả năm 2022)</t>
  </si>
  <si>
    <t>Học viên tuyển mới năm 2022 theo khối ngành
(Tính dự kiến tổng số tuyển mới trong năm 2022)</t>
  </si>
  <si>
    <t>.- Khóa 30 (dự kiến tuyển sinh năm 2022)</t>
  </si>
  <si>
    <t>Số học viên có mặt ngày 31/12/2022 theo khối ngành, gồm:
(Số học viên này được coi là quy mô sinh viên có mặt học kỳ I năm học 2022-2023 từ tháng 9-12/2022)</t>
  </si>
  <si>
    <t>ĐÀO TẠO TIẾN SỸ</t>
  </si>
  <si>
    <t>NCS</t>
  </si>
  <si>
    <t>.-Khóa 25 về trước (tuyển sinh từ 2016 trở về trước)</t>
  </si>
  <si>
    <t>.-Khóa 26 (tuyển sinh năm 2017)</t>
  </si>
  <si>
    <t>.-Khóa 27 (tuyển sinh năm 2018)</t>
  </si>
  <si>
    <t>.-Khóa 28 (tuyển sinh năm 2019)</t>
  </si>
  <si>
    <t>.-Khóa 29 (tuyển sinh năm 2020)</t>
  </si>
  <si>
    <t>.-Khóa 30 (tuyển sinh năm 2021)</t>
  </si>
  <si>
    <t>Số NCS DK năm học 2021-2022</t>
  </si>
  <si>
    <t>.- Khóa 31 (dự kiến tuyển sinh năm 2022)</t>
  </si>
  <si>
    <t>Lưu ý: số lượng các đơn vị cập nhật phải khớp với số lượng các phòng ban chức năng cung cấp</t>
  </si>
  <si>
    <t>QUY MÔ ĐÀO TẠO VỪA LÀM VỪA HỌC - ĐÀO TẠO TỪ XA NĂM 2022</t>
  </si>
  <si>
    <t>ĐÀO TẠO VỪA LÀM VỪA HỌC</t>
  </si>
  <si>
    <t>ĐÀO TẠO TỪ XA</t>
  </si>
  <si>
    <t>Số lượng</t>
  </si>
  <si>
    <t>III</t>
  </si>
  <si>
    <t>Biểu số 2</t>
  </si>
  <si>
    <t>Tên đơn vị :………………</t>
  </si>
  <si>
    <t>(Mẫu dành cho các đơn vị đào tạo từ bậc đại học trở lên)</t>
  </si>
  <si>
    <t xml:space="preserve">Đơn vị tính: </t>
  </si>
  <si>
    <t xml:space="preserve">Tên học phần hoặc chuyên đề; 
hướng dẫn luận văn, đồ án, luận án </t>
  </si>
  <si>
    <t>Số TC theo chương trình đào tạo</t>
  </si>
  <si>
    <t>Số lớp TC dự kiến mở</t>
  </si>
  <si>
    <t>Số tiết giảng dạy quy chuẩn</t>
  </si>
  <si>
    <t>Tổng số giờ giảng dạy quy chuẩn kế hoạch đăng ký thực hiện</t>
  </si>
  <si>
    <t>Số giờ chuẩn ĐM giảng dạy phải đảm nhận theo chức danh</t>
  </si>
  <si>
    <t>Số giờ chuẩn ĐM giảng dạy phải đảm nhận đã trừ miễn giảm</t>
  </si>
  <si>
    <t>Dự kiến thừa thiếu số giờ giảng dạy quy chuẩn</t>
  </si>
  <si>
    <t>Số giờ NCKH đăng ký thực hiện</t>
  </si>
  <si>
    <t>Số giờ HĐCM khác đăng ký thực hiện</t>
  </si>
  <si>
    <t>GV trong đơn vị đảm nhận</t>
  </si>
  <si>
    <t>GV khối HC Trường đảm nhận</t>
  </si>
  <si>
    <t>GV thỉnh giảng</t>
  </si>
  <si>
    <t>(1)</t>
  </si>
  <si>
    <t>(2)</t>
  </si>
  <si>
    <t>(3)</t>
  </si>
  <si>
    <t>(4)</t>
  </si>
  <si>
    <t>(5)</t>
  </si>
  <si>
    <t>(7)</t>
  </si>
  <si>
    <t>(10)</t>
  </si>
  <si>
    <t>(11)</t>
  </si>
  <si>
    <t>(12)</t>
  </si>
  <si>
    <t>(13)</t>
  </si>
  <si>
    <t>(14)</t>
  </si>
  <si>
    <t>(15)</t>
  </si>
  <si>
    <t>(16)</t>
  </si>
  <si>
    <t>(17)</t>
  </si>
  <si>
    <t>Đào tạo chinh quy (gồm cả trong và ngoài Trường)</t>
  </si>
  <si>
    <t>a</t>
  </si>
  <si>
    <t xml:space="preserve">Giảng dạy ĐH chính quy </t>
  </si>
  <si>
    <t>a.1</t>
  </si>
  <si>
    <t>Học phần ……</t>
  </si>
  <si>
    <t>a.2</t>
  </si>
  <si>
    <t>a.3</t>
  </si>
  <si>
    <t>a.4</t>
  </si>
  <si>
    <t>a.5</t>
  </si>
  <si>
    <t>a.6</t>
  </si>
  <si>
    <t>b</t>
  </si>
  <si>
    <t>Hướng dẫn thực tế, thực tập; luận văn và đổ án TN</t>
  </si>
  <si>
    <t>b.1</t>
  </si>
  <si>
    <t>b.2</t>
  </si>
  <si>
    <t xml:space="preserve">Giảng dạy Thạc sỹ </t>
  </si>
  <si>
    <t>Hướng dẫn luận văn TN</t>
  </si>
  <si>
    <t>Đào tạo Nghiên cứu sinh</t>
  </si>
  <si>
    <t>Giảng dạy Nghiên cứu sinh</t>
  </si>
  <si>
    <t>Hướng dẫn chuyên đề</t>
  </si>
  <si>
    <t>c</t>
  </si>
  <si>
    <t>Hướng dẫn Luận án</t>
  </si>
  <si>
    <t>Đào tạo không chính quy (gồm cả trong, ngoài Trường)</t>
  </si>
  <si>
    <t>Đào tạo ĐH vừa làm vừa học</t>
  </si>
  <si>
    <t>Giảng dạy ĐH vừa làm vừa học</t>
  </si>
  <si>
    <t>Các hoạt động khác (nếu có)</t>
  </si>
  <si>
    <t>Đại học Giáo dục từ xa</t>
  </si>
  <si>
    <t>Giảng dạy ĐH ĐTTX</t>
  </si>
  <si>
    <t>B</t>
  </si>
  <si>
    <t>Z</t>
  </si>
  <si>
    <t>Tổng hợp toàn khoa, Viện</t>
  </si>
  <si>
    <t>Đại học chính quy (gồm cả trong và ngoài Trường)</t>
  </si>
  <si>
    <t>x</t>
  </si>
  <si>
    <t>Đào tạo Thạc sỹ (gồm cả trong và ngoài Trường)</t>
  </si>
  <si>
    <t>Đại học VLVH (gồm cả trong và ngoài Trường)</t>
  </si>
  <si>
    <t>Đại học ĐTTX (gồm cả trong và ngoài Trường)</t>
  </si>
  <si>
    <t>Đào tạo THPT Chuyên</t>
  </si>
  <si>
    <t>Đào tạo THPT Chất lượng cao</t>
  </si>
  <si>
    <t xml:space="preserve">.- Kế hoạch giảng dạy này là tổng hợp KH của khoa, viện, tổ BM. Thực tế các Tổ BM phải lập chi tiết cho từng giảng viên của Tổ bộ môn và các giảng viên ngoài Tổ BM, thỉnh giảng tham gia giảng dạy, hướng dẫn luận văn, đồ án, luận án (lập chi tiết theo Tổ BM kèm theo biểu).   </t>
  </si>
  <si>
    <t>. - Không tổng hợp số giờ giảng dạy khác (đào tạo ngắn hạn cấp chứng chỉ, đào tạo khác) vào số giờ giảng dạy của Tổ bộ môn, Khoa</t>
  </si>
  <si>
    <t xml:space="preserve"> - Tại cột (9),(10),(11): tùy thuộc vào giảng viên đảm nhiệm là GV trong đơn vị, khối hành chính và GV thỉnh giảng, lưu ý hệ số lớp đồng nhận thêm 1.3 đối với lớp trên 70 sinh viên</t>
  </si>
  <si>
    <t xml:space="preserve"> - Đối với giảng viên không thuộc tổ nhưng thuộc đơn vị thì vẫn ghi ở cột số (9)</t>
  </si>
  <si>
    <t xml:space="preserve"> - Các chỉ tiêu từ cột (12) -(16) thì lấy từ biểu 3</t>
  </si>
  <si>
    <t xml:space="preserve"> - Việc tổng hợp toàn khoa, viện phải được tổng hợp cả theo từng loại hình đào tạo; các chi tiểu (6),(8),(9),(10),(11),(12),(13),(14),(15),(16) cần được tổng hợp theo khoa</t>
  </si>
  <si>
    <t>Biểu số 2A</t>
  </si>
  <si>
    <t>Tên đơn vị :</t>
  </si>
  <si>
    <t>Họ và tên</t>
  </si>
  <si>
    <t>Chức danh</t>
  </si>
  <si>
    <t>Tên môn học, Chủ nhiệm lớp</t>
  </si>
  <si>
    <t>Các lớp đảm nhận</t>
  </si>
  <si>
    <t>Số giờ miễn</t>
  </si>
  <si>
    <t>(6)</t>
  </si>
  <si>
    <t>(8)</t>
  </si>
  <si>
    <t>(9)=(7)-(8)</t>
  </si>
  <si>
    <t>(10)=(6)-(9)</t>
  </si>
  <si>
    <t>Tổ bộ môn (1)………</t>
  </si>
  <si>
    <t>(i)</t>
  </si>
  <si>
    <t>Giáo viên tại đơn vị</t>
  </si>
  <si>
    <t>HỌ và tên : ….......................</t>
  </si>
  <si>
    <t>…........................</t>
  </si>
  <si>
    <t>Thỉnh giảng</t>
  </si>
  <si>
    <t>Tổng hợp Tổ (1)……….</t>
  </si>
  <si>
    <t>Giảng dạy Cao học tại trường</t>
  </si>
  <si>
    <t>Giảng dạy Cao học ngoài trường</t>
  </si>
  <si>
    <t>Giảng dạy nghiên cứu sinh</t>
  </si>
  <si>
    <t>Giảng dạy THPT chuyên</t>
  </si>
  <si>
    <t>Giảng dạy THSP</t>
  </si>
  <si>
    <t>Trong đó:</t>
  </si>
  <si>
    <t>GV của đơn vị đảm nhận</t>
  </si>
  <si>
    <t>GV thỉnh giảng đảm nhận</t>
  </si>
  <si>
    <t>Tổ bộ môn (2)………</t>
  </si>
  <si>
    <t>(ii)</t>
  </si>
  <si>
    <t>Tổng hợp Tổ……….</t>
  </si>
  <si>
    <t>Tổ bộ môn …… ( tương tự)</t>
  </si>
  <si>
    <t>TỔNG TOÀN ĐƠN VỊ</t>
  </si>
  <si>
    <t>Giảng dạy do khoa đảm nhận</t>
  </si>
  <si>
    <t>Giảng dạy THPT Chuyên</t>
  </si>
  <si>
    <t>Giảng dạy Cao học</t>
  </si>
  <si>
    <t>Giáo viên thỉnh giảng</t>
  </si>
  <si>
    <t>Lưu ý:</t>
  </si>
  <si>
    <t>Cột (6): căn cứ số lớp đảm nhiệm trong năm học để quy đổi ra số tiết giảng dạy của giảng viên</t>
  </si>
  <si>
    <t>Cột (7), (8), (9), (11), (12): lấy số liệu từ biểu (3)</t>
  </si>
  <si>
    <t>Biểu 1a DH Chính quy</t>
  </si>
  <si>
    <t>Biểu 1b Sau đại học</t>
  </si>
  <si>
    <t>Dành cho các đơn vị có đào tạo bậc sau đại học</t>
  </si>
  <si>
    <t>Biểu 1c VLVH - TX</t>
  </si>
  <si>
    <t>Dành cho các đơn vị có đào tạo hệ vừa làm vừa học, từ xa</t>
  </si>
  <si>
    <t>Dành cho các đơn vị có đào tạo sinh viên đại học chính quy, liên thông, văn bằng 2</t>
  </si>
  <si>
    <t>Biểu 1d THPT</t>
  </si>
  <si>
    <t>Dành cho Trường THPT Chuyên</t>
  </si>
  <si>
    <t>Biểu 1e THSP</t>
  </si>
  <si>
    <t>Dành cho Trường THSP</t>
  </si>
  <si>
    <t>Biểu 2</t>
  </si>
  <si>
    <t>Biểu số 3</t>
  </si>
  <si>
    <t>Tên đơn vị:……………...…</t>
  </si>
  <si>
    <t>TỔNG HỢP SỐ GIỜ QUY CHUẨN ĐƠN VỊ PHẢI ĐẢM NHẬN GIẢNG DẠY NĂM TÀI CHÍNH 2022</t>
  </si>
  <si>
    <t>Đơn vị tính: Tiết chuẩn</t>
  </si>
  <si>
    <t>Tổ bộ môn và họ tên giảng viên</t>
  </si>
  <si>
    <t>Số giờ chuẩn theo định mức</t>
  </si>
  <si>
    <t>Số giờ chuẩn được miễn giảm</t>
  </si>
  <si>
    <t>Số giờ chuẩn còn phải đảm nhận</t>
  </si>
  <si>
    <t>Cộng</t>
  </si>
  <si>
    <t>Giờ giảng dạy</t>
  </si>
  <si>
    <t>Giờ NCKH</t>
  </si>
  <si>
    <t>Giờ HĐCM khác</t>
  </si>
  <si>
    <t>(9)</t>
  </si>
  <si>
    <t>Tổng số cán bộ của đơn vị: …….., trong đó:</t>
  </si>
  <si>
    <t>Cán bộ hành chính ……………………….</t>
  </si>
  <si>
    <t>Cán bộ giảng dạy: ……………….., gồm:</t>
  </si>
  <si>
    <t>CBGD đảm nhận ĐM giờ tập sự (thử việc): …</t>
  </si>
  <si>
    <t>CBGD đảm nhận ĐM giờ giảng viên trở lên: …….</t>
  </si>
  <si>
    <t>CBGD đảm nhận ĐM giờ giáo viên: ….</t>
  </si>
  <si>
    <t>Nghệ An, ngày ….. tháng ….. năm 2021</t>
  </si>
  <si>
    <t xml:space="preserve">        TRƯỞNG ĐƠN VỊ</t>
  </si>
  <si>
    <t>Biểu</t>
  </si>
  <si>
    <t>Tên biểu</t>
  </si>
  <si>
    <t>Đơn vị áp dụng</t>
  </si>
  <si>
    <t>BỘ GIÁO DỤC VÀ ĐÀO TẠO</t>
  </si>
  <si>
    <t>TRƯỜNG ĐAI HỌC VINH</t>
  </si>
  <si>
    <t>DANH MỤC CÁC MẪU BIỂU VÀ ĐƠN VỊ ÁP DỤNG DÀNH CHO XÂY DỰNG KẾ HOẠCH TÀI CHÍNH NĂM 2022</t>
  </si>
  <si>
    <r>
      <rPr>
        <b/>
        <sz val="15"/>
        <color indexed="8"/>
        <rFont val="Times New Roman"/>
        <family val="1"/>
      </rPr>
      <t>Ghi chú:</t>
    </r>
    <r>
      <rPr>
        <sz val="15"/>
        <color indexed="8"/>
        <rFont val="Times New Roman"/>
        <family val="1"/>
      </rPr>
      <t xml:space="preserve"> Các khoa, viện trường lập theo Tổ bộ môn (các Tổ bộ môn phải lập chi tiết đến từng giảng viên, giáo viên đính kèm theo, trong đó thuyết minh rõ các nội dung, lý do được miễn giảm tại cột ghi chú đối với từng giảng viên)</t>
    </r>
  </si>
  <si>
    <t>Họ và tên : …........................</t>
  </si>
  <si>
    <t>Tổng cộng toàn đơn vị:</t>
  </si>
  <si>
    <t>.- Khóa 63 (Dự kiến tuyển năm 2022)
"Giao kế hoạch tối thiểu bằng số tuyển sinh của K62;"</t>
  </si>
  <si>
    <t xml:space="preserve">        TRƯỜNG ĐẠI HỌC VINH</t>
  </si>
  <si>
    <t>Biểu số 4</t>
  </si>
  <si>
    <t xml:space="preserve">          Tên đơn vị:……………...…</t>
  </si>
  <si>
    <t>BẢNG TỔNG HỢP CÁC HOẠT ĐỘNG ĐÀO TẠO, THỰC HÀNH - THÍ NGHIỆM ĐỀ NGHỊ CẤP KINH PHÍ NĂM TÀI CHÍNH 2022</t>
  </si>
  <si>
    <t>Đơn vị tính: nghìn đồng</t>
  </si>
  <si>
    <t>Nội dung hoạt động giáo dục, đào tạo</t>
  </si>
  <si>
    <t xml:space="preserve">Trình độ, hình thức đào tạo </t>
  </si>
  <si>
    <t>Lớp đảm nhận</t>
  </si>
  <si>
    <t>Địa điểm đặt lớp (trong trường hay ngoài Trường)</t>
  </si>
  <si>
    <t>Hoạt động tại học kỳ</t>
  </si>
  <si>
    <t>Số tín chỉ (hoặc số tiết giảng dạy)</t>
  </si>
  <si>
    <t>Số kinh phí đề nghị cấp</t>
  </si>
  <si>
    <t>Công tác thực hành thí nghiệm</t>
  </si>
  <si>
    <t>Công tác thực tập, kiến tập, thực tế, rèn nghề, hoạt động khác</t>
  </si>
  <si>
    <t>Tổng cộng:</t>
  </si>
  <si>
    <t xml:space="preserve">Ghi chú: </t>
  </si>
  <si>
    <r>
      <t xml:space="preserve"> -</t>
    </r>
    <r>
      <rPr>
        <sz val="11"/>
        <color indexed="8"/>
        <rFont val="Times New Roman"/>
        <family val="1"/>
      </rPr>
      <t>Các nội dung hoạt động đào tạo đề nghị Nhà trường cấp kinh phí như: kiến tập, thực tập sư phạm hoặc thực tập nghề; Thực hành - Thí nghiệm; đi thực tế của sinh viên; ....Các đơn vị căn cứ QC CT NB phải lập dự toán chi tiết kèm theo cho từng hoạt động và xếp theo thứ tự ưu tiên về sự cần thiết, bắt buộc phải thực hiện theo chương trình đào tạo. Nếu không có dự toán chi tiết kèm theo, xem như hoạt động đó không được duyệt.</t>
    </r>
  </si>
  <si>
    <t xml:space="preserve"> - Đối với hoạt động thực hành thí nghiệm, đơn vị phối hợp lấy số liệu từ TT THTN cho phù hợp.</t>
  </si>
  <si>
    <t xml:space="preserve">    TRƯỜNG ĐẠI HỌC VINH</t>
  </si>
  <si>
    <t>Biểu số 5</t>
  </si>
  <si>
    <t xml:space="preserve">      Tên đơn vị:…………….</t>
  </si>
  <si>
    <t>BẢNG TỔNG HỢP TÀI SẢN, CÔNG CỤ, DỤNG CỤ ĐỀ NGHỊ NHÀ TRƯỜNG MUA SẮM 
NĂM TÀI CHÍNH 2022</t>
  </si>
  <si>
    <t>Các nội dung cần mua sắm tài sản</t>
  </si>
  <si>
    <t>Đơn giá</t>
  </si>
  <si>
    <t>Thành tiền</t>
  </si>
  <si>
    <t>Trang thiết bị phục vụ công tác đào tạo</t>
  </si>
  <si>
    <t>Căn cứ chương trình CDIO được phê duyệt để đề xuất mua sắm nếu cần</t>
  </si>
  <si>
    <t>Tài liệu giáo trình</t>
  </si>
  <si>
    <t>Văn phòng phẩm</t>
  </si>
  <si>
    <t>Theo QC CTNB</t>
  </si>
  <si>
    <t xml:space="preserve">Sửa chữa, bảo dưỡng tài sản có giá trị </t>
  </si>
  <si>
    <t>Khác</t>
  </si>
  <si>
    <t>Nghệ An, ngày      tháng      năm 2021</t>
  </si>
  <si>
    <r>
      <t xml:space="preserve">Ghi chú: </t>
    </r>
    <r>
      <rPr>
        <sz val="10"/>
        <color indexed="8"/>
        <rFont val="Times New Roman"/>
        <family val="1"/>
      </rPr>
      <t>Các nội dung mua sắm phải có dự toán thuyết minh chi tiết kèm theo, trong đó nêu rõ sự cần thiết phải mua sắm. 
- Đối với việc lập dự trù mua sắm các thiết bị THTN, các khoa viện trao đổi với TT THTN để lên dự toán phù hợp.
- Đối với việc lập dự trù giáo trình theo CDIO, các khoa, viện trao đổi với Phòng Đào tạo, TT Thư viện để lên dự toán cho phù hợp
- Đối với các bảo dưỡng, bảo trì lớn, các đơn vị đầu mối trực tiếp lên dự trù như TT THTN, TT CNTT, Phòng Quản trị &amp; Đầu tư</t>
    </r>
  </si>
  <si>
    <t>Biểu số 6</t>
  </si>
  <si>
    <t>CÔNG TÁC TỔ CHỨC CÁN BỘ VÀ KẾ HOẠCH HỌC TẬP, BỒI DƯỠNG NĂM HỌC 2022</t>
  </si>
  <si>
    <t>Chức vụ</t>
  </si>
  <si>
    <t>Biểu số 7</t>
  </si>
  <si>
    <t>KẾ HOẠCH ĐĂNG KÝ NGHIÊN CỨU KHOA HỌC NĂM TÀI CHÍNH 2022</t>
  </si>
  <si>
    <t>Nội dung Nghiên cứu khoa học</t>
  </si>
  <si>
    <t>Chủ trì đề tài, dự án</t>
  </si>
  <si>
    <t>Số kinh phí</t>
  </si>
  <si>
    <t>Các đề tài dự án do Bộ Giáo dục và Đào tạo giao theo dự toán</t>
  </si>
  <si>
    <t>Các đề tài, dự án cấp Nhà nước</t>
  </si>
  <si>
    <t>Các đề tài, dự án cấp Bộ</t>
  </si>
  <si>
    <t>Các đề tài, dự án cấp tỉnh</t>
  </si>
  <si>
    <t xml:space="preserve">Các đề tài, dự án do các đơn vị liên hệ và Trường ký hợp đồng </t>
  </si>
  <si>
    <t>IV</t>
  </si>
  <si>
    <t>V</t>
  </si>
  <si>
    <t>VI</t>
  </si>
  <si>
    <t xml:space="preserve">    TRƯỞNG ĐƠN VỊ</t>
  </si>
  <si>
    <t>Ghi chú: Phải ghi rõ số lượng, tên đề tài dự kiến thực hiện. Đối với các đề tài thực hiện trong nhiều kì đề nghị thể hiện rõ % thực hiện trong năm 2022.</t>
  </si>
  <si>
    <t>Biểu số 8</t>
  </si>
  <si>
    <t>ĐƠN VỊ: .....................</t>
  </si>
  <si>
    <t>KẾ HOẠCH GIẢNG DẠY ĐÀO TẠO NGẮN HẠN CẤP CHỨNG CHỈ
NĂM TÀI CHÍNH 2022</t>
  </si>
  <si>
    <t>Đơn vị tính: Nghìn đồng</t>
  </si>
  <si>
    <t>TT</t>
  </si>
  <si>
    <t>Nội dung đào tạo</t>
  </si>
  <si>
    <t>Số lượng HV, Chứng chỉ</t>
  </si>
  <si>
    <t>Học phí bình quân/người học</t>
  </si>
  <si>
    <t>KP cấp chứng chỉ/cái</t>
  </si>
  <si>
    <t>Đào tạo khác</t>
  </si>
  <si>
    <t>Tổng</t>
  </si>
  <si>
    <t>Nghệ An, ngày     tháng     năm 2021</t>
  </si>
  <si>
    <t>1. Đào tạo ngoài trường nhân với hệ số 0.65; đối với các khoa, viện tự tổ chức khoán thì nhân hệ số 0.30</t>
  </si>
  <si>
    <t>2. TT GDTX tổng hợp kinh phí của các hội đồng tổ chức thi do Tổ Đào tạo và VP. Đại diện Thanh Hóa trên mục thu của mình</t>
  </si>
  <si>
    <t>TỔNG HỢP CÁC KHOẢN THU NĂM TÀI CHÍNH 2022</t>
  </si>
  <si>
    <t xml:space="preserve">Học phí bình quân/1 TC </t>
  </si>
  <si>
    <t>A - CÁC KHOẢN THU</t>
  </si>
  <si>
    <t>Học phí</t>
  </si>
  <si>
    <t>Học kỳ II 2021-2022</t>
  </si>
  <si>
    <t xml:space="preserve">Học phí hệ đại học chính quy   </t>
  </si>
  <si>
    <t>Học phí hệ vừa làm vừa học</t>
  </si>
  <si>
    <t>Học phí hệ Đào tạo từ xa</t>
  </si>
  <si>
    <t xml:space="preserve">Học phí đào tạo SĐH </t>
  </si>
  <si>
    <t>Học phí đào tạo tiến sỹ</t>
  </si>
  <si>
    <t>Tính theo số lượng NCS ở biểu 1</t>
  </si>
  <si>
    <t>Học phí THPT chuyên</t>
  </si>
  <si>
    <t>Số lượng học sinh, sinh viên, mầm non phù hợp với số lượng ở biểu 1</t>
  </si>
  <si>
    <t>HS THPT chất lượng cao</t>
  </si>
  <si>
    <t>Học phí Trường THSP</t>
  </si>
  <si>
    <t>Trẻ nhà trẻ</t>
  </si>
  <si>
    <t>Trẻ mẫu giáo</t>
  </si>
  <si>
    <t>HS Tiểu học</t>
  </si>
  <si>
    <t>HS Trung học CS</t>
  </si>
  <si>
    <t>Học kỳ I 2022-2023</t>
  </si>
  <si>
    <t>Các khoản thu khác</t>
  </si>
  <si>
    <t xml:space="preserve">Mở lớp ngắn hạn, cấp chứng chỉ, </t>
  </si>
  <si>
    <t>Biểu 8</t>
  </si>
  <si>
    <t>Biểu 7</t>
  </si>
  <si>
    <r>
      <rPr>
        <b/>
        <sz val="12"/>
        <color indexed="8"/>
        <rFont val="Times New Roman"/>
        <family val="1"/>
      </rPr>
      <t>Ghi chú:</t>
    </r>
    <r>
      <rPr>
        <sz val="12"/>
        <color indexed="8"/>
        <rFont val="Times New Roman"/>
        <family val="1"/>
      </rPr>
      <t xml:space="preserve"> Một số đơn vị dự kiến có khoản thu khác phải tổng hợp đầy đủ, như: Trường THPT chuyên, Trường THSP, Khoa Giáo dục, Khoa Kinh tế, …. . Lưu ý các đơn vị có khoản thu hộ, chi hộ như: Trường THSP thu tiền ăn bán trú của trẻ và học sinh; phòng KHTC thu tiền lệ phí thi THPT Quốc gia;....</t>
    </r>
  </si>
  <si>
    <t>1. Đào tạo ngoài trường (VLVH, ĐTTX, SĐH) đơn giá đã tính giảm trừ phần thu để lại đơn vị liên kết</t>
  </si>
  <si>
    <t>Riêng đối với đào tạo NCS tính theo niên chế năm 10 tháng và tính 100% số thu của khoa, viên đào tạo</t>
  </si>
  <si>
    <t>Kinh phí đào tạo không tính vào mục này</t>
  </si>
  <si>
    <t>Số lượt tín chỉ/HSSV dự kiến đảm nhiệm</t>
  </si>
  <si>
    <t>Biểu 4</t>
  </si>
  <si>
    <t>Biểu 5</t>
  </si>
  <si>
    <t>Biểu 6</t>
  </si>
  <si>
    <t>Biểu 10</t>
  </si>
  <si>
    <t>Biểu 11</t>
  </si>
  <si>
    <t>Biểu 12</t>
  </si>
  <si>
    <t>Đơn vị tính: đồng</t>
  </si>
  <si>
    <t>Biểu số 12</t>
  </si>
  <si>
    <t>Đơn vị</t>
  </si>
  <si>
    <t xml:space="preserve">Tổng kinh phí lương, các khoản có tính chất lương chi trả hàng tháng </t>
  </si>
  <si>
    <t>Các khoản phúc lợi, thanh toán thừa giờ</t>
  </si>
  <si>
    <t>Trích đóng
32% BHXH
2% KPCĐ</t>
  </si>
  <si>
    <t>Tổng các khoản chi</t>
  </si>
  <si>
    <t xml:space="preserve"> Ban quản lý cơ sở II </t>
  </si>
  <si>
    <t xml:space="preserve"> Khoa học và Hợp tác quốc tế </t>
  </si>
  <si>
    <t xml:space="preserve"> Trạm Y tế </t>
  </si>
  <si>
    <t xml:space="preserve"> Văn phòng Đảng - HĐT - Đoàn thể </t>
  </si>
  <si>
    <t xml:space="preserve">Đề Án Ngoại ngữ </t>
  </si>
  <si>
    <t xml:space="preserve">Ban quản lý đề án Ngoại ngữ </t>
  </si>
  <si>
    <t xml:space="preserve">E Tep </t>
  </si>
  <si>
    <t>Ban quản lý chương trình ETEP</t>
  </si>
  <si>
    <t xml:space="preserve">Khoa Giáo dục thể chất </t>
  </si>
  <si>
    <t xml:space="preserve">Khoa Sư phạm Ngoại ngữ </t>
  </si>
  <si>
    <t xml:space="preserve">Khoa Trung tâm GDQPAN Vinh </t>
  </si>
  <si>
    <t xml:space="preserve">Khoa Xây dựng </t>
  </si>
  <si>
    <t xml:space="preserve">Phòng Công tác Chính trị và HS-SV </t>
  </si>
  <si>
    <t xml:space="preserve">Phòng Đào tạo </t>
  </si>
  <si>
    <t xml:space="preserve">Phòng Đào tạo Sau Đại học </t>
  </si>
  <si>
    <t xml:space="preserve">Phòng Hành chính Tổng hợp </t>
  </si>
  <si>
    <t xml:space="preserve">Phòng Kế hoạch-Tài chính </t>
  </si>
  <si>
    <t xml:space="preserve">Phòng Quản Trị và Đầu tư </t>
  </si>
  <si>
    <t xml:space="preserve">Phòng Thanh tra - Pháp chế </t>
  </si>
  <si>
    <t xml:space="preserve">Phòng Tổ chức Cán bộ </t>
  </si>
  <si>
    <t xml:space="preserve">Trung tâm Đảm bảo chất lượng </t>
  </si>
  <si>
    <t xml:space="preserve">Trung tâm Dịch vụ, hỗ trợ sinh viên </t>
  </si>
  <si>
    <t xml:space="preserve">Trung tâm Giáo dục Thường xuyên </t>
  </si>
  <si>
    <t xml:space="preserve">Trung tâm Kiểm định chất lượng giáo dục </t>
  </si>
  <si>
    <t xml:space="preserve">Trung tâm Nội trú </t>
  </si>
  <si>
    <t xml:space="preserve">Trung tâm Thông tin - Thư viện </t>
  </si>
  <si>
    <t xml:space="preserve">Trung tâm Thực hành - Thí nghiệm </t>
  </si>
  <si>
    <t xml:space="preserve">Trường Kinh tế </t>
  </si>
  <si>
    <t xml:space="preserve">Trường Sư Phạm </t>
  </si>
  <si>
    <t xml:space="preserve">Trường Thực hành sư phạm </t>
  </si>
  <si>
    <t xml:space="preserve">Trường Trung học Phổ thông Chuyên </t>
  </si>
  <si>
    <t xml:space="preserve">Viện Công nghệ Hóa sinh - Môi trường </t>
  </si>
  <si>
    <t xml:space="preserve">Viện Kỹ thuật - Công nghệ </t>
  </si>
  <si>
    <t xml:space="preserve">Viện Nghiên cứu và Đào tạo trực tuyến </t>
  </si>
  <si>
    <t xml:space="preserve">Viện Nông nghiệp và Tài nguyên </t>
  </si>
  <si>
    <t xml:space="preserve"> Văn phòng đại diện tỉnh Thanh Hóa </t>
  </si>
  <si>
    <t xml:space="preserve"> Nhà Xuất bản </t>
  </si>
  <si>
    <t>Tổng Cộng</t>
  </si>
  <si>
    <t>CHI PHÍ TIỀN LƯƠNG, CÁC KHOẢN TRÍCH THEO LƯƠNG, THU NHẬP TĂNG THÊM VÀ PHÚC LỢI NGÀY LỄ TẾT CỦA CÁC ĐƠN VỊ TÍNH THEO MỨC LƯƠNG CƠ BẢN 1.490.000 ĐỒNG (THEO DANH SÁCH, HỆ SỐ LƯƠNG THÁNG 7.2021</t>
  </si>
  <si>
    <t>Dành cho tất cả các đơn vị, số liệu chi cho con người liên quan lương, phúc lợi khác trong năm, dùng để nhập số liệu vào biểu 10 của mỗi đơn vị.</t>
  </si>
  <si>
    <t>Dành cho tất cả các đơn vị thống kê kế hoạch đào tạo năm 2022 của đơn vị</t>
  </si>
  <si>
    <t>Dành cho các đơn vị đào tạo, có sử dụng kinh phí liên quan</t>
  </si>
  <si>
    <t>TỔNG HỢP CÁC KHOẢN  CHI NĂM TÀI CHÍNH 2022</t>
  </si>
  <si>
    <t>Các đơn vị xem chi tiết cột hướng dẫn để thực hiện tính toán kinh phí cho từng chỉ tiêu dòng trong biểu</t>
  </si>
  <si>
    <t xml:space="preserve">  TRƯỜNG ĐẠI HỌC VINH</t>
  </si>
  <si>
    <t>Biểu số 10</t>
  </si>
  <si>
    <t xml:space="preserve">      ĐƠN VỊ: .....................</t>
  </si>
  <si>
    <t>ĐVT: Nghìn đồng</t>
  </si>
  <si>
    <t>Hướng dẫn thêm</t>
  </si>
  <si>
    <t xml:space="preserve"> B - CÁC KHOẢN CHI</t>
  </si>
  <si>
    <t>Chi cho con người</t>
  </si>
  <si>
    <t>Các khoản chi lương, tiền công, phụ cấp, TN tăng thêm, phúc lợi, lễ tết và các khoản đóng góp BHXH</t>
  </si>
  <si>
    <t>Lấy số liệu của đơn vị mình trên biểu 12 mà nhà trường cung cấp</t>
  </si>
  <si>
    <t>Làm thêm giờ, trực đêm, ngày lễ, dạy thừa giờ</t>
  </si>
  <si>
    <t xml:space="preserve"> - Đơn vị đào tạo: tính giờ vượt chuẩn
 - Đơn vị hành chính: tính giờ làm thêm, trực đêm, nếu có</t>
  </si>
  <si>
    <t>Học bổng sinh viên, trợ cấp xã hội</t>
  </si>
  <si>
    <t>1.3.a</t>
  </si>
  <si>
    <t>Kinh phí dành cho học bổng, khuyến khích học tập</t>
  </si>
  <si>
    <t>Tính theo số lượng của đơn vị mình:
Số tiền = 8%  của tổng thu (học phí chính quy + cấp bù sư phạm + kinh phí chế độ miễn / giảm học phí)</t>
  </si>
  <si>
    <t>1.3.b</t>
  </si>
  <si>
    <t>Trợ cấp xã hội</t>
  </si>
  <si>
    <t>1.3.c</t>
  </si>
  <si>
    <t>Miễn giảm học phí (Mục này ngân sách cấp, không thống kê vào đây)</t>
  </si>
  <si>
    <t>Không thống kê kinh phí miễn giảm vì nó thuộc nguồn ngân sách cấp</t>
  </si>
  <si>
    <t>Tiền thưởng các loại (Cấp trường, tỉnh,bộ, cá nhân, tập thể…)</t>
  </si>
  <si>
    <t>Đ19 . QC CTNB về khen thưởng cá nhân và đơn vị</t>
  </si>
  <si>
    <t xml:space="preserve"> - Khen thưởng phong tặng danh hiệu, khen thương các hoạt động phong trào;
 - khen thưởng có bài báo đăng tạp chí quốc tế;
 - Khen thưởng sơ kết học kỳ I; tổng kết năm học; khen thưởng cho cá nhân, tập thể ngoài trường… đạt các danh hiệu năm học;
 - Khen thưởng người học, giảng viên, giáo viên có thành tích trong việc người học đạt các danh hiệu quốc gia, quốc tế, tỉnh. </t>
  </si>
  <si>
    <t>Trợ cấp khó khăn, thăm viếng, nghỉ phép</t>
  </si>
  <si>
    <t>Theo QCCTNB</t>
  </si>
  <si>
    <t xml:space="preserve"> - Dự kiến kinh phí thanh toán tiền nghỉ phép năm theo chế độ của đơn vị.</t>
  </si>
  <si>
    <t>Các khoản hỗ trợ đi học thạc sỹ, tiến sỹ, đào tạo ngắn hạn</t>
  </si>
  <si>
    <t>Hướng dẫn số 706/2018 và QCCTNB,</t>
  </si>
  <si>
    <t xml:space="preserve"> - Dự kiến kinh phí chi cho việc cử cán bộ đi học trong năm. Kinh phí tính theo điều 29, quy chế chi tiêu nội bộ:
. Nhà trường hỗ trợ học phí cho tiến sỹ, ngắn hạn, căn cứ vào số lượng cử đi học và học phí hằng năm để tính. </t>
  </si>
  <si>
    <t>Bao gồm bồi dưỡng và phụ cấp độc hại (Điều 16 QCCTNB); Chi phúc lợi (Điều 18 QCCTNB) như lễ, tết, hỗ trợ công tác hành chính</t>
  </si>
  <si>
    <t>Chi cho chuyên môn, nghiệp vụ</t>
  </si>
  <si>
    <t>2.1</t>
  </si>
  <si>
    <t>Tiền VPP, mua sắm dụng cụ văn phòng</t>
  </si>
  <si>
    <t>VPP căn cứ điều 27 QCCTNB: 200.000đ/cán bộ/ năm (không bao gồm cán bộ đi học tập trung ngoài trường) + 2.000đ/HS,SV,HV hệ tập trung; tiền phấn: 300.000đ/người/năm</t>
  </si>
  <si>
    <t>2.2</t>
  </si>
  <si>
    <t>Tiền điện thoại, sách báo tạp chí, Internet</t>
  </si>
  <si>
    <t xml:space="preserve"> - Tiền điện thoại: căn cứ điều 21 QCCTNB:</t>
  </si>
  <si>
    <t>2.3</t>
  </si>
  <si>
    <t>Tổ chức các hội nghị, hội thi NVSP, các chuyên đề</t>
  </si>
  <si>
    <t>Thực hiện lên dự toán cho từng hội nghị, ĐM chi theo Điều 33 QC CTNB</t>
  </si>
  <si>
    <t>2.4</t>
  </si>
  <si>
    <t>Công tác phí</t>
  </si>
  <si>
    <t>Công lệnh khoa</t>
  </si>
  <si>
    <t>Điều 23 QC CTNB</t>
  </si>
  <si>
    <t>2.5</t>
  </si>
  <si>
    <t>Thuê giáo viên thính giảng, vận chuyển, thiết bị, chuyên gia</t>
  </si>
  <si>
    <t>Biểu 2; QCTNB</t>
  </si>
  <si>
    <t xml:space="preserve">Sử dụng số liệu thỉnh giảng ở Biểu 2 và định mức chi tại </t>
  </si>
  <si>
    <t>2.6</t>
  </si>
  <si>
    <t>Đoàn ra, đoàn vào</t>
  </si>
  <si>
    <t>2.7</t>
  </si>
  <si>
    <t>Sửa chữa trang thiết bị văn phòng</t>
  </si>
  <si>
    <t>2.8</t>
  </si>
  <si>
    <t>Chi Bảo hộ LĐ, sinh viên đi thực tập, thực tế; hội đồng bảo vệ, hướng dẫn luận văn, học tập kinh nghiệm, chấm thi, kinh phí quản lý cấp khoa, cấp trường, tổ chức thi olimpic, học sinh giỏi, thực hành thí nghiệm …….</t>
  </si>
  <si>
    <t>Điều 17 - QCCTNB</t>
  </si>
  <si>
    <t>Chi nghiên cứu khoa học bằng nguồn của nhà trường</t>
  </si>
  <si>
    <t>2.10</t>
  </si>
  <si>
    <t>Chi biên soạn và nghiệm thu chương trình, tài liệu giáo trình</t>
  </si>
  <si>
    <t>Theo QCCTNB và các văn bản NN</t>
  </si>
  <si>
    <t>Điều 48 - QCCTNB</t>
  </si>
  <si>
    <t>2.11</t>
  </si>
  <si>
    <t>Chi các hoạt động cải tiến chương trình, đánh giá, tự đánh giá các chương trình đào tạo</t>
  </si>
  <si>
    <t>Chi khác</t>
  </si>
  <si>
    <t>Điều 28. Tiền hỗ trợ hoạt động của HS, SV, HV: dưới 500 người &lt;= 10tr, trên 500 người: 1 hv,sv,hs tăng thêm 20.000, nhưng tối đa kquá 30tr
Các khoản chi khác không nằm trong các mục trên</t>
  </si>
  <si>
    <t>Mua sắm, sửa chữa</t>
  </si>
  <si>
    <t>Điều hoà, máy tinh, máy phôto, sửa chữa các công trình</t>
  </si>
  <si>
    <t>Chi khấu hao tài sản cố định</t>
  </si>
  <si>
    <t>Khấu hao tài sản cố định: 10% tổng số thu học phí tại trường ( biểu 9)</t>
  </si>
  <si>
    <t>Tiếp khách</t>
  </si>
  <si>
    <t>Các khoản chi khác</t>
  </si>
  <si>
    <r>
      <rPr>
        <b/>
        <i/>
        <sz val="12"/>
        <color indexed="8"/>
        <rFont val="Times New Roman"/>
        <family val="1"/>
      </rPr>
      <t>Ghi chú:</t>
    </r>
    <r>
      <rPr>
        <i/>
        <sz val="12"/>
        <color indexed="8"/>
        <rFont val="Times New Roman"/>
        <family val="1"/>
      </rPr>
      <t xml:space="preserve"> Các khoản chi lương, có tính chất lương, TN tăng thêm, phúc lợi, lễ tết, đóng góp các loại BHXH, phòng KH-TC cung cấp cho các đơn vị số liệu tại biểu 12; Học bổng, trợ cấp xã hội, miễn giảm học phí tính bằng 21% thu học phí Đại học chính quy</t>
    </r>
  </si>
  <si>
    <t>KẾ HOẠCH GIẢNG DẠY ĐÀO TẠO NGẮN HẠN CẤP CHỨNG CHỈ NĂM TÀI CHÍNH 2022</t>
  </si>
  <si>
    <t>Biểu này dành cho các đơn vị có thực hiện tổ chức các lớp Bồi dưỡng chứng chỉ ngắn hạn</t>
  </si>
  <si>
    <t>QUY MÔ ĐÀO TẠO TRUNG HỌC PHỔ THÔNG NĂM 2022</t>
  </si>
  <si>
    <t>QUY MÔ ĐÀO TẠO THỰC HÀNH SƯ PHẠM NĂM 2022</t>
  </si>
  <si>
    <t xml:space="preserve"> - Các đơn vị đào tạo: Căn cứ vào kế hoạch đánh giá các chương trình đào tạo để lên dự toán phù hợp.
 - TTĐBCL sẽ thẩm định và xác định số tổng hợp cho kế hoạch năm của nhà trường.</t>
  </si>
  <si>
    <t>Các đơn vị đào tạo tính theo số lượng của đơn vị mình, đối tượng được hưởng: 
dân tộc thiểu số thuộc vùng đặc biệt khó khăn = 140.000 đồng/tháng:
Sinh viên mồi côi, sinh viên khuyết tật = 100.000 đồng/tháng.
Số tiền = Số lượng sinh viên x 140.000 x số tháng + số lượng x 100.000 x số tháng của mỗi học kỳ.
Phòng CTCT - HSSV sẽ thẩm định cuối để xác định số tổng hợp số kế hoạch năm của nhà trường.</t>
  </si>
  <si>
    <t xml:space="preserve">   TRƯỜNG ĐẠI HỌC VINH</t>
  </si>
  <si>
    <t>Biểu số 11</t>
  </si>
  <si>
    <t xml:space="preserve">     ĐƠN VỊ: ................</t>
  </si>
  <si>
    <t>TỔNG HỢP THU CHI NĂM TÀI CHÍNH 2022</t>
  </si>
  <si>
    <t xml:space="preserve">Số tiền </t>
  </si>
  <si>
    <t>CÁC KHOẢN THU CỦA ĐƠN VỊ</t>
  </si>
  <si>
    <t>Dịch vụ</t>
  </si>
  <si>
    <t>CÁC KHOẢN CHI TRỰC TIẾP TẠI ĐƠN VỊ</t>
  </si>
  <si>
    <t>Chi cho chuyên môn</t>
  </si>
  <si>
    <t>CHÊNH LỆCH THU - CHI</t>
  </si>
  <si>
    <t xml:space="preserve"> - Kinh phí dành cho chi thực hiện các đề tài NCKH tại trường gồm:
(1) Các đơn vị đào tạo lập nhu cầu kinh phí chi cho hoạt động NCKH = 8% tổng thu nhà trường theo Nghị định 99/2014 của Chính phủ; 
Đồng thời, trên cơ sở đó, có kế hoạch phù hợp để đẩy mạnh hoạt động NCKH của đơn vị, tăng cường chú trọng các nhiệm vụ KHCN có tính chuyển giao công nghệ.
(2) Kinh phí nhận được từ các đề tài ký kết ngoài trường theo số liệu tại mục II.4 biểu 9;</t>
  </si>
  <si>
    <t>(Khối ngành I): Khoa học Giáo dục và đào tạo giáo viên;
(Khối ngành III): Kinh doanh và quản lý, pháp luật;
(Khối ngành VII)  Khối ngành nhân văn, khoa học xã hội và hành vi, báo chí và thông tin, dịch vụ xã hội, du lịch, khách sạn thể dục thể thao, dịch vụ vận tải, môi trường và bảo vệ môi trường.</t>
  </si>
  <si>
    <t>(Khối ngành V): Toán và thống kê, máy tính và công nghệ thông tin, công nghệ kỹ thuật, kỹ thuật, sản xuất và chế biến, kiến trúc và xây dựng, nông lâm nghiệp và thủy sản, thú y;
(Khối ngành VI) Các khối ngành sức khỏe</t>
  </si>
  <si>
    <t>(Khối ngành IV) Khoa học sự sống, khoa học tự nhiên;</t>
  </si>
  <si>
    <t>BẢNG TỔNG HỢP TÀI SẢN, CÔNG CỤ, DỤNG CỤ ĐỀ NGHỊ NHÀ TRƯỜNG MUA SẮM NĂM TÀI CHÍNH 2022</t>
  </si>
  <si>
    <t>Dành cho tất cả các đơn vị</t>
  </si>
  <si>
    <t>Dành cho các đơn vị có đào tạo</t>
  </si>
  <si>
    <t>Dành cho tất cả các đơn vị có thực hiện các nhiệm vụ KHCN</t>
  </si>
  <si>
    <t>VII</t>
  </si>
  <si>
    <t>Khoa/ Trung tâm/ Tổ bộ môn/ (Và tương đương) ….</t>
  </si>
  <si>
    <t>Các đề tài Nghiên cứu khoa học của người học (sinh viên, học viên)</t>
  </si>
  <si>
    <t>Các công bố khoa học khác nếu có</t>
  </si>
  <si>
    <t>Các nhiệm vụ khoa học từ các nhóm nghiên cứu</t>
  </si>
  <si>
    <t xml:space="preserve"> - Các nhiệm vụ khoa học khác nếu có</t>
  </si>
  <si>
    <t>Các hội nghị, hội thảo khoa học</t>
  </si>
  <si>
    <t>Hội thảo khoa học quốc tế</t>
  </si>
  <si>
    <t>Hội thảo khoa học trong nước</t>
  </si>
  <si>
    <t>Hội thảo khoa học cấp trường</t>
  </si>
  <si>
    <t>ĐỐI VỚI BẬC ĐẠI HỌC VÀ TRÊN ĐẠI HỌC</t>
  </si>
  <si>
    <t>Sinh viên Đại học chính quy</t>
  </si>
  <si>
    <t>Sinh viên liên thông chính quy</t>
  </si>
  <si>
    <t>2-3 năm (cử nhân 2 năm, kỹ sư 3 năm)</t>
  </si>
  <si>
    <t>.- Khóa 60 (Tuyển sinh năm 2021)</t>
  </si>
  <si>
    <t>.- Khóa 59 (tuyển sinh năm 2020)</t>
  </si>
  <si>
    <t>.- Khóa 58 (Tuyển sinh năm 2019)</t>
  </si>
  <si>
    <t>.- Khóa 57 trở về trước</t>
  </si>
  <si>
    <t>.- Khóa 61 (Tuyển sinh năm 2022)</t>
  </si>
  <si>
    <t>.- Khóa 58 về trước</t>
  </si>
  <si>
    <t>Sinh viên văn bằng 2</t>
  </si>
  <si>
    <t>.- Khóa 59 (Tuyển sinh năm 2018 trở về trước)</t>
  </si>
  <si>
    <t>.- Khóa 60 (Tuyển sinh năm 2019 trở về trước)</t>
  </si>
  <si>
    <t>Sinh viên ngành 2</t>
  </si>
  <si>
    <t>.- Khóa 58 (Tuyến sinh năm 2017 trở về trước)</t>
  </si>
  <si>
    <t>Lưu học sinh học đại học</t>
  </si>
  <si>
    <t>Lưu học sinh dự bị tiếng Việt</t>
  </si>
  <si>
    <t>5.1</t>
  </si>
  <si>
    <t>5.2</t>
  </si>
  <si>
    <t>5.3</t>
  </si>
  <si>
    <t>5.4</t>
  </si>
  <si>
    <t>Thạc sĩ trong nước</t>
  </si>
  <si>
    <t>Thạc sĩ lưu học sinh</t>
  </si>
  <si>
    <t>Tiến sĩ trong nước</t>
  </si>
  <si>
    <t>Tiến sĩ Lưu học sinh</t>
  </si>
  <si>
    <t>(Khối ngành I): Khoa học Giáo dục và đào tạo giáo viên;</t>
  </si>
  <si>
    <t xml:space="preserve">Số lượt TC theo KH đào tạo/ Số học sinh
(số liệu cột này là cột …. Biểu 2a +2b hoặc </t>
  </si>
  <si>
    <t>Hệ số lớp đông / lớp ít nếu có</t>
  </si>
  <si>
    <t>Số lượng sinh viên</t>
  </si>
  <si>
    <t>(18)</t>
  </si>
  <si>
    <t>(9)=(3)x(5)x(6)</t>
  </si>
  <si>
    <t xml:space="preserve">
(Khối ngành VII)  Khối ngành nhân văn, khoa học xã hội và hành vi, báo chí và thông tin, dịch vụ xã hội, du lịch, khách sạn thể dục thể thao, dịch vụ vận tải, môi trường và bảo vệ môi trường.</t>
  </si>
  <si>
    <t>(Khối ngành III): Kinh doanh và quản lý, pháp luật;</t>
  </si>
  <si>
    <t>(Khối ngành IV): Khoa học sự sống, khoa học tự nhiên</t>
  </si>
  <si>
    <t>Các đơn vị xác định tổng số tín chỉ theo khối ngành</t>
  </si>
  <si>
    <t xml:space="preserve">số liệu cột C được nhặt từ tổng số tín chỉ quy đổi tại cột (8) biểu 2a </t>
  </si>
  <si>
    <t>số liệu cột C được nhặt từ tổng số tín chỉ quy đổi tại cột (8) biểu 2b</t>
  </si>
  <si>
    <t>(Khối ngành V): Toán và thống kê, máy tính và công nghệ thông tin, công nghệ kỹ thuật, kỹ thuật, sản xuất và chế biến, kiến trúc và xây dựng, nông lâm nghiệp và thủy sản, thú y;</t>
  </si>
  <si>
    <t>(Khối ngành VI) Các khối ngành sức khỏe</t>
  </si>
  <si>
    <t>CỘNG HÒA XÃ HỘI CHỦ NGHĨA VIỆT NAM</t>
  </si>
  <si>
    <t>Độc lập - Tự do - Hạnh phúc</t>
  </si>
  <si>
    <t>Đơn vị: ...............................</t>
  </si>
  <si>
    <t>KẾ HOẠCH ĐÀO TẠO, BỒI DƯỠNG, PHÁT TRIỂN ĐỘI NGŨ NĂM 2022</t>
  </si>
  <si>
    <t>Đơn vị cấp 3 
và tương đương
(Khoa/Bộ môn/Tổ hành chính)</t>
  </si>
  <si>
    <t>Đề xuất số lượng viên chức tuyển mới</t>
  </si>
  <si>
    <t>Trình độ</t>
  </si>
  <si>
    <t>Ngành/
chuyên ngành đào tạo</t>
  </si>
  <si>
    <t>Bậc đào tạo</t>
  </si>
  <si>
    <t>Danh sách viên chức nghỉ hưu, kéo dài thời gian công tác</t>
  </si>
  <si>
    <t>Năm sinh</t>
  </si>
  <si>
    <t>Dân tộc</t>
  </si>
  <si>
    <t>Khoa/Bộ môn/Tổ</t>
  </si>
  <si>
    <t>Chuyên ngành
 đào tạo</t>
  </si>
  <si>
    <t>Thời gian nghỉ hưu /kéo dài</t>
  </si>
  <si>
    <t>Nam</t>
  </si>
  <si>
    <t>Nữ</t>
  </si>
  <si>
    <t>Nguyễn Văn</t>
  </si>
  <si>
    <t>Danh sách viên chức nghỉ phép, nghỉ không lương, thai sản</t>
  </si>
  <si>
    <t>Thời gian nghỉ</t>
  </si>
  <si>
    <t>Thai sản</t>
  </si>
  <si>
    <t>Đào tạo chuyên môn; Đào tạo lý luận chính trị</t>
  </si>
  <si>
    <t>Nội dung 
đào tạo</t>
  </si>
  <si>
    <t>Nơi đào tạo</t>
  </si>
  <si>
    <t>Thời gian
(dự kiến từ năm … đến năm ...)</t>
  </si>
  <si>
    <t xml:space="preserve">Kinh phí dự trù
</t>
  </si>
  <si>
    <t>Tại ĐHV</t>
  </si>
  <si>
    <t>Trong nước</t>
  </si>
  <si>
    <t>Ngoài nước</t>
  </si>
  <si>
    <t>TS</t>
  </si>
  <si>
    <t>Hà Nội</t>
  </si>
  <si>
    <t>Bồi dưỡng</t>
  </si>
  <si>
    <t>Nội dung
 bồi dưỡng</t>
  </si>
  <si>
    <t>Thời lượng chương trình</t>
  </si>
  <si>
    <t>Nơi bồi dưỡng</t>
  </si>
  <si>
    <t xml:space="preserve">
Thời gian
</t>
  </si>
  <si>
    <t>Kinh phí
 dự trù</t>
  </si>
  <si>
    <t>Tại
ĐHV</t>
  </si>
  <si>
    <t xml:space="preserve">Bồi dưỡng  khác (*) </t>
  </si>
  <si>
    <t>Hội nghị, hội thảo, tập huấn, thực tập sinh, hợp tác khoa học…</t>
  </si>
  <si>
    <t>Tiêu đề/Nội dung</t>
  </si>
  <si>
    <t>Thời lượng</t>
  </si>
  <si>
    <t>Nơi tổ chức</t>
  </si>
  <si>
    <t>Bổ nhiệm, thay đổi chức danh nghề nghiệp</t>
  </si>
  <si>
    <t>Ngành/chuyên ngành</t>
  </si>
  <si>
    <t>Chức danh hiện tại</t>
  </si>
  <si>
    <t>Chức danh đề nghị 
bổ nhiệm/thay đổi</t>
  </si>
  <si>
    <t xml:space="preserve">Năm </t>
  </si>
  <si>
    <t>Nghệ An, ngày        tháng         năm</t>
  </si>
  <si>
    <t xml:space="preserve"> </t>
  </si>
  <si>
    <r>
      <rPr>
        <b/>
        <sz val="10"/>
        <rFont val="Times New Roman"/>
        <family val="1"/>
      </rPr>
      <t>Lưu ý:
Bồi dưỡng  khác (*):</t>
    </r>
    <r>
      <rPr>
        <sz val="10"/>
        <rFont val="Times New Roman"/>
        <family val="1"/>
      </rPr>
      <t xml:space="preserve"> Ghi rõ nội dung bồi dưỡng: tin học, ngoại ngữ, quản lý hành chính nhà nước cho CBQL, cho viên chức; bồi dưỡng theo chức danh nghề nghiệp; Bồi dưỡng các kỹ năng, phương pháp dạy học, kỹ năng phòng cháy chữa cháy,an toàn lao động, an toàn thực phẩm... theo vị trí việc làm.)</t>
    </r>
  </si>
  <si>
    <t>Số liệu cột và dòng tương ứng trong biểu 1B</t>
  </si>
  <si>
    <t>Học phí đào tạo Lưu học sinh</t>
  </si>
  <si>
    <t>6.1</t>
  </si>
  <si>
    <t>6.2</t>
  </si>
  <si>
    <t>Lưu học sinh tiến sỹ</t>
  </si>
  <si>
    <t>Lưu học sinh thạc sỹ</t>
  </si>
  <si>
    <t>7.1</t>
  </si>
  <si>
    <t>Học phí trường THPT chuyên</t>
  </si>
  <si>
    <t>Học phí bậc THPT</t>
  </si>
  <si>
    <t>7.2</t>
  </si>
  <si>
    <t>Học phí trường THPT Chất lượng cao</t>
  </si>
  <si>
    <t>8.1</t>
  </si>
  <si>
    <t>8.2</t>
  </si>
  <si>
    <t>8.3</t>
  </si>
  <si>
    <t>8.4</t>
  </si>
  <si>
    <t>Số lượng tương ứng ở biểu 1</t>
  </si>
  <si>
    <t>Biểu 9b Tổng thu của đơn vị hành chính</t>
  </si>
  <si>
    <t>Dành cho tất cả các đơn vị hành chính</t>
  </si>
  <si>
    <t>Các khoản thu khác (nếu có của đơn vị)</t>
  </si>
  <si>
    <t>Tiền thu ký túc xá sinh viên Việt</t>
  </si>
  <si>
    <t>Thu từ đào tạo lưu học sinh</t>
  </si>
  <si>
    <t>9.1</t>
  </si>
  <si>
    <t>9.2</t>
  </si>
  <si>
    <t>9.3</t>
  </si>
  <si>
    <t>Lưu học sinh học tiếng Việt</t>
  </si>
  <si>
    <t>Lưu học sinh học cao học</t>
  </si>
  <si>
    <t>Lưu học sinh học tiến sỹ</t>
  </si>
  <si>
    <t>9.4</t>
  </si>
  <si>
    <t>Số lượng học sinh lấy từ biểu 1</t>
  </si>
  <si>
    <t>Lưu học sinh Đại học, học tiếng Việt</t>
  </si>
  <si>
    <t>…...................................</t>
  </si>
  <si>
    <t>Tiền thu ký túc xá Lưu học sinh Lào</t>
  </si>
  <si>
    <t>Thu từ các khoản khác</t>
  </si>
  <si>
    <t>Phí quản lý đề tài</t>
  </si>
  <si>
    <t>Thu lệ phí tuyển sinh</t>
  </si>
  <si>
    <t>Thu …....................</t>
  </si>
  <si>
    <t>TỔNG HỢP CÁC KHOẢN THU NĂM TÀI CHÍNH 2022 DÀNH CHO CÁC ĐƠN VỊ HÀNH CHÍNH</t>
  </si>
  <si>
    <t>TỔNG HỢP CÁC KHOẢN THU NĂM TÀI CHÍNH 2022 DÀNH CHO ĐƠN VỊ ĐÀO TẠO</t>
  </si>
  <si>
    <t>Các khoản thu hộ, chi hộ của các đơn vị 
(thu tiền vệ sinh, an ninh, bảo hiểm y tế, tiền phù hiệu, tiền hoạt động phong trào, ….............)</t>
  </si>
  <si>
    <t>Biểu số 9b</t>
  </si>
  <si>
    <t xml:space="preserve">Các khoản thu hộ:
(Tiền ăn, </t>
  </si>
  <si>
    <t>Tiền phục vụ bán trú</t>
  </si>
  <si>
    <t>Biểu số 9a</t>
  </si>
  <si>
    <t>Khoa viện xây dựng, phòng KH&amp;HTQT thẩm định</t>
  </si>
  <si>
    <t>Thu kinh phí đền bù đào tạo (Từ CB, từ người học)</t>
  </si>
  <si>
    <t>Thu tiền điện, nước từ các KTX</t>
  </si>
  <si>
    <t>NÂNG CHUẨN LIÊN THÔNG HỆ SƯ PHẠM</t>
  </si>
  <si>
    <t>Đơn vị cấp 3</t>
  </si>
  <si>
    <t>Tên đơn vị cấp 3</t>
  </si>
  <si>
    <t>Mục đích sử dụng</t>
  </si>
  <si>
    <t>KẾ HOẠCH ĐĂNG KÝ NHIỆM VỤ NGHIÊN CỨU KHOA HỌC NĂM TÀI CHÍNH 2022</t>
  </si>
  <si>
    <t>Nhiệm vụ / đề tài nghiên cứu khoa học….....</t>
  </si>
  <si>
    <t>6.3</t>
  </si>
  <si>
    <t>Các nhiệm vụ khoa học từ các học phần dạy học dự án
(Mỗi học phần chọn 1 dự án tốt nhất)</t>
  </si>
  <si>
    <t>Tối đa 10 tr/đề tài
(Thay thế hoạt động SV NCKH hàng năm)</t>
  </si>
  <si>
    <t>Biên soạn bài giảng Elearning
 (cấp độ 2 trở lên, tạm tính: 8 tr / tín chỉ đối với cấp độ 2; 10 tr tín chỉ đối với cấp độ 3)</t>
  </si>
  <si>
    <t>cập nhật lại đơn giá</t>
  </si>
  <si>
    <t>XIII</t>
  </si>
  <si>
    <t>Bồi dưỡng chức danh nghề nghiệp</t>
  </si>
  <si>
    <t>Bồi dưỡng nghiệp vụ sư phạm</t>
  </si>
  <si>
    <t>Đào tạo và bồi dưỡng khác</t>
  </si>
  <si>
    <t>Bồi dưỡng cán bộ quản lý giáo dục</t>
  </si>
  <si>
    <t>Bồi dưỡng và cấp chứng chỉ ngoại ngữ</t>
  </si>
  <si>
    <t>Bồi dưỡng và cấp chứng chỉ tin học</t>
  </si>
  <si>
    <t>yêu cầu trích xuất dến đon vị cấp ba đối với các đơn vị mới thành lập</t>
  </si>
  <si>
    <t>Sinh viên tuyển mới năm 2022 theo khối ngành
(Tính dự kiến tổng số tuyển mới trong năm 2022 trừ các ngành sư phạm)</t>
  </si>
  <si>
    <t>định dạng trang / tiêu đề / repeat tiêu đề trên các trang sau</t>
  </si>
  <si>
    <t>KẾ HOẠCH ĐÀO TẠO - GIẢNG DẠY CỦA ĐƠN VỊ ĐÀO TẠO TRÌNH ĐỘ ĐẠI HỌC VÀ SAU ĐẠI HỌC  NĂM 2022</t>
  </si>
  <si>
    <t>(Bảng này dùng để thống kê chi tiết học phần giảng dạy của học kỳ II năm học 2021-2022, học kỳ hè và học kỳ I năm học 2022-2023)</t>
  </si>
  <si>
    <t>Hệ số TC môn học tính học phí so với TC dạy lý thuyết trên lớp
CÔNG THỨC TÍNH HỆ SỐ:
[= số (TC lý thuyết x hệ số học phí + số tín chỉ thực hành x hệ số học phí + số tín chỉ thực tập/ đồ án tốt nghiệp x hệ số học phí) / tổng số tín chỉ của học phần]</t>
  </si>
  <si>
    <t>KẾ HOẠCH ĐÀO TẠO. GIẢNG DẠY CỦA ĐƠN VỊ ĐÀO TẠO CÁC BẬC HỌC THPT VÀ THSP NĂM TÀI CHÍNH 2022</t>
  </si>
  <si>
    <t>(Bảng này dùng để thống kê chi tiết giảng dạy học kỳ II năm học 2021-2022 và học kỳ I năm học 2022-2023)</t>
  </si>
  <si>
    <t>Biểu 2a DH và trên ĐH</t>
  </si>
  <si>
    <t>Biểu 2b THPT và THSP</t>
  </si>
  <si>
    <t>KẾ HOẠCH ĐÀO TẠO - GIẢNG DẠY CỦA ĐƠN VỊ NĂM 2022</t>
  </si>
  <si>
    <t>Học kỳ II năm học 2021-2022, học kỳ hè, và học kỳ I năm học 2022-2023</t>
  </si>
  <si>
    <t>Học kỳ II năm học 2021-2022, và học kỳ I năm học 2022-2023</t>
  </si>
  <si>
    <t>số liệu dòng này của mỗi đơn vị nhập vào biểu 3b</t>
  </si>
  <si>
    <t>Biểu 3a</t>
  </si>
  <si>
    <t>Biểu 3b</t>
  </si>
  <si>
    <t>TỔNG HỢP SỐ GIỜ QUY CHUẨN ĐƠN VỊ PHẢI ĐẢM NHẬN GIẢNG DẠY NĂM TÀI CHÍNH 2022 theo đơn vị</t>
  </si>
  <si>
    <t>TỔNG HỢP SỐ GIỜ QUY CHUẨN ĐƠN VỊ PHẢI ĐẢM NHẬN GIẢNG DẠY NĂM TÀI CHÍNH 2022 toàn trường</t>
  </si>
  <si>
    <t>Số liệu tổng của biểu 3a mỗi đơn vị nhảy vào biểu 3b theo tên đơn vị</t>
  </si>
  <si>
    <t xml:space="preserve">Trường Khoa học Xã hội và Nhân văn </t>
  </si>
  <si>
    <t>CÁC ĐƠN VỊ</t>
  </si>
  <si>
    <t>Địa chỉ đặt thiết bị / 
Địa chỉ sử dụng thiết bị</t>
  </si>
  <si>
    <t>Trường / Khoa / Viện đơn vị xây dựng, phòng Quản trị đầu tư và KHTC thẩm định</t>
  </si>
  <si>
    <t>Trường / Khoa / Viện Xây dựng số liệu, Phòng Đào tạo, Trung tâm thực hành thí nghiệm và KHTC thẩm định</t>
  </si>
  <si>
    <t>Các đề tài cấp trường 
Các đơn vị đề xuất trên cơ sở thực tiễn</t>
  </si>
  <si>
    <t>Các hoạt động KHCN khác</t>
  </si>
  <si>
    <t>Đăng ký sở hữu trí tuệ</t>
  </si>
  <si>
    <t>Hoạt động khoa học công nghệ khác</t>
  </si>
  <si>
    <t>…...............................</t>
  </si>
  <si>
    <t>Tên Nhóm nghiên cứu
(Các nhiệm vụ khoa học từ nhóm nghiên cứu mạnh cho các hoạt động khoa học có tính đột phá, có tính chuyển giao)</t>
  </si>
  <si>
    <t>Số lượt TC theo KH đào tạo (số liệu cột này là cột (8) Biểu 2a khối ngành III</t>
  </si>
  <si>
    <t>Đơn giá khối ngành III</t>
  </si>
  <si>
    <t>Đơn giá khối ngành I</t>
  </si>
  <si>
    <t>Số lượt TC theo KH đào tạo (số liệu cột này là cột (8) Biểu 2a khối ngành I</t>
  </si>
  <si>
    <t>Số lượt TC theo KH đào tạo (số liệu cột này là cột (8) Biểu 2a khối ngành IV</t>
  </si>
  <si>
    <t>Đơn giá khối ngành IV</t>
  </si>
  <si>
    <t>Số lượt TC theo KH đào tạo (số liệu cột này là cột (8) Biểu 2a khối ngành V</t>
  </si>
  <si>
    <t>Đơn giá khối ngành V</t>
  </si>
  <si>
    <t>Số lượt TC theo KH đào tạo (số liệu cột này là cột (8) Biểu 2a khối ngành VI</t>
  </si>
  <si>
    <t>Đơn giá khối ngành VI</t>
  </si>
  <si>
    <t>Số lượt TC theo KH đào tạo (số liệu cột này là cột (8) Biểu 2a khối ngành VII</t>
  </si>
  <si>
    <t>Đơn giá khối ngành VII</t>
  </si>
  <si>
    <t>…..................................</t>
  </si>
  <si>
    <t>Học kỳ I năm học 2022 - 2023</t>
  </si>
  <si>
    <t>Thành tiền học kỳ II năm học 2021-2022 và học kỳ hè.</t>
  </si>
  <si>
    <t>Học kỳ II năm học 2021-2022 và học kỳ hè</t>
  </si>
  <si>
    <t>Số tháng</t>
  </si>
  <si>
    <t>Học kỳ I năm học 2022-2023</t>
  </si>
  <si>
    <t>(3)=(4) x (5)x(6)</t>
  </si>
  <si>
    <t>(7)=(8)x(9)x(10)</t>
  </si>
  <si>
    <t>Tổng cộng</t>
  </si>
  <si>
    <t>(11)=(3)+(7)</t>
  </si>
  <si>
    <t>TỔNG CỘNG</t>
  </si>
  <si>
    <t>Nghệ An, ngày          tháng         năm 2021</t>
  </si>
  <si>
    <t>Biểu 9a Tổng thu của đơn vị đào tạo đại học và sau đại học theo khối ngành</t>
  </si>
  <si>
    <t>Biểu 9b Tổng thu của các đơn vị đào tạo theo niên chế / học phí có định mức theo tháng</t>
  </si>
  <si>
    <t>Dành cho tất cả các đơn vị đào tạo theo niên chế có định mức học phí theo đơn giá học kỳ / tháng</t>
  </si>
  <si>
    <t>(19)</t>
  </si>
  <si>
    <t>(20)</t>
  </si>
  <si>
    <t>(21)</t>
  </si>
  <si>
    <t>(22)</t>
  </si>
  <si>
    <t>(23)</t>
  </si>
  <si>
    <t>(24)</t>
  </si>
  <si>
    <t>(25)</t>
  </si>
  <si>
    <t>(26)</t>
  </si>
  <si>
    <t>(27)</t>
  </si>
  <si>
    <t>(28)</t>
  </si>
  <si>
    <t>(29)=(3)+(16)</t>
  </si>
  <si>
    <t>(30)</t>
  </si>
  <si>
    <t>(3) = (4)x(5) + (6)*(7) + (8)*(9) + (10)*(11) + (12)*(13) + (14)x(15)</t>
  </si>
  <si>
    <t xml:space="preserve">Thành tiền học kỳ I năm học 2022-2023
----------
</t>
  </si>
  <si>
    <t>(16) = (17)x(18) + (19)*(20) + (21)*(22) + (23)*(24) + (25)*(26) + (27)x(28)</t>
  </si>
  <si>
    <t>Học kỳ II và học kỳ hè năm học 2021 - 2022</t>
  </si>
  <si>
    <t xml:space="preserve">Thành tiền học kỳ II và học kỳ hè năm học 2021-2022 
------------
</t>
  </si>
  <si>
    <t>TỔNG HỢP CÁC KHOẢN THU NĂM TÀI CHÍNH 2022 DÀNH CHO ĐƠN VỊ ĐÀO TẠO THEO NIÊN CHẾ HOẶC HỌC PHÍ TÍNH THEO THÁNG</t>
  </si>
  <si>
    <t>3.1</t>
  </si>
  <si>
    <t>3.2</t>
  </si>
  <si>
    <t>3.3</t>
  </si>
  <si>
    <t>3.4</t>
  </si>
  <si>
    <t>6.4</t>
  </si>
  <si>
    <t>Tiền lệ phí thi tuyển sinh</t>
  </si>
  <si>
    <t>6.5</t>
  </si>
  <si>
    <t>…............................</t>
  </si>
  <si>
    <t>Các khoản thu hộ: (Tiền ăn, …..)</t>
  </si>
  <si>
    <t>CÁC ĐƠN VỊ ĐÀO TẠO</t>
  </si>
  <si>
    <t xml:space="preserve"> - Dành cho tất cả các đơn vị đào tạo theo khối ngành;
 - (Hướng dẫn các đơn vị khi in hard copy để đóng quyển thì đơn vị cố định hai cột đầu tiên, để in biểu thành 2 phần:
   + phần 1 gồm hai cột đầu + học kỳ II năm học 2021-2022; 
   + phần 2 gồm 2 cột đầu + học kỳ I năm học 2022-2023 và cột tổng;</t>
  </si>
  <si>
    <t xml:space="preserve">Trường Sư Phạm - Khoa Địa Lý </t>
  </si>
  <si>
    <t xml:space="preserve">Trường Sư Phạm - Khoa Giáo dục chính trị </t>
  </si>
  <si>
    <t xml:space="preserve">Trường Sư Phạm - Khoa Giáo dục MN </t>
  </si>
  <si>
    <t xml:space="preserve">Trường Sư Phạm - Khoa Giáo dục Tiểu học </t>
  </si>
  <si>
    <t xml:space="preserve">Trường Sư Phạm - Khoa Hóa Học </t>
  </si>
  <si>
    <t xml:space="preserve">Trường Sư Phạm - Khoa Lịch Sử </t>
  </si>
  <si>
    <t xml:space="preserve">Trường Sư Phạm - Khoa Ngữ Văn </t>
  </si>
  <si>
    <t xml:space="preserve">Trường Sư Phạm - Khoa Sinh học </t>
  </si>
  <si>
    <t xml:space="preserve">Trường Sư Phạm - Khoa Tâm lý Giáo dục </t>
  </si>
  <si>
    <t xml:space="preserve">Trường Sư Phạm - Khoa Tin Học </t>
  </si>
  <si>
    <t xml:space="preserve">Trường Sư Phạm - Khoa Toán học </t>
  </si>
  <si>
    <t xml:space="preserve">Trường Sư Phạm - Khoa Vật Lý </t>
  </si>
  <si>
    <t xml:space="preserve">Trường Sư Phạm - TT Bồi dưỡng NV Sư phạm </t>
  </si>
  <si>
    <t xml:space="preserve">Trường Sư Phạm - VP </t>
  </si>
  <si>
    <t xml:space="preserve">Trường Kinh Tế - Khoa Kế toán </t>
  </si>
  <si>
    <t xml:space="preserve">Trường Kinh Tế - Khoa Kinh tế </t>
  </si>
  <si>
    <t xml:space="preserve">Trường Kinh Tế - Khoa Quản trị kinh doanh </t>
  </si>
  <si>
    <t xml:space="preserve">Trường Kinh Tế - Khoa Tài chính Ngân hàng </t>
  </si>
  <si>
    <t xml:space="preserve">Trường Kinh Tế - VP </t>
  </si>
  <si>
    <t xml:space="preserve">Trường Khoa học Xã hội và Nhân Văn - Khoa Chính trị và Báo chí </t>
  </si>
  <si>
    <t xml:space="preserve">Trường Khoa học Xã hội và Nhân Văn - Khoa Du lịch và CTXH </t>
  </si>
  <si>
    <t xml:space="preserve">Trường Khoa học Xã hội và Nhân Văn - Khoa Luật học </t>
  </si>
  <si>
    <t xml:space="preserve">Trường Khoa học Xã hội và Nhân Văn - Khoa Luật Kinh tế </t>
  </si>
  <si>
    <t xml:space="preserve">Trường Khoa học Xã hội và Nhân Văn - VP </t>
  </si>
  <si>
    <t xml:space="preserve">Viện NC &amp; ĐTTT </t>
  </si>
  <si>
    <t xml:space="preserve">Viện NC &amp; ĐTTT - Khoa ĐT Trực tuyến </t>
  </si>
  <si>
    <t xml:space="preserve">Viện NC &amp; ĐTTT - TT Công nghệ TT </t>
  </si>
  <si>
    <t xml:space="preserve">Viện NC &amp; ĐTTT - TT Nghiên cứu và Chuyển giao CN giáo dục số </t>
  </si>
  <si>
    <t xml:space="preserve">Viện NC &amp; ĐTTT - TT Phát triển học liệu số </t>
  </si>
  <si>
    <t xml:space="preserve">Trường Thực hành sư phạm - Mầm Non </t>
  </si>
  <si>
    <t xml:space="preserve">Trường Thực hành sư phạm - THCS </t>
  </si>
  <si>
    <t xml:space="preserve">Trường Thực hành sư phạm - Tiểu học </t>
  </si>
  <si>
    <t>Khối ngành 1
(Kinh tế chính trị)</t>
  </si>
  <si>
    <t>Khối ngành 2
(Quản lý kinh tế)</t>
  </si>
  <si>
    <t>KHOA KINH TẾ</t>
  </si>
  <si>
    <t>Nhập môn ngành Kinh tế</t>
  </si>
  <si>
    <t>Lịch sử các học thuyết kinh tế</t>
  </si>
  <si>
    <t>Kinh tế vi mô</t>
  </si>
  <si>
    <t>Kinh tế vĩ mô</t>
  </si>
  <si>
    <t>Thống kê kinh tế</t>
  </si>
  <si>
    <t>Kinh tế quốc tế</t>
  </si>
  <si>
    <t>a.7</t>
  </si>
  <si>
    <t>Lập dự án đầu tư</t>
  </si>
  <si>
    <t>a.8</t>
  </si>
  <si>
    <t>Kinh tế phát triển</t>
  </si>
  <si>
    <t>a.9</t>
  </si>
  <si>
    <t>Kinh tế công cộng</t>
  </si>
  <si>
    <t>a.10</t>
  </si>
  <si>
    <t>a.11</t>
  </si>
  <si>
    <t>Kinh tế đầu tư</t>
  </si>
  <si>
    <t>a.12</t>
  </si>
  <si>
    <t>a.13</t>
  </si>
  <si>
    <t>Quản lý dự án đầu tư</t>
  </si>
  <si>
    <t>a.14</t>
  </si>
  <si>
    <t>Thị trường vốn đầu tư</t>
  </si>
  <si>
    <t>a.15</t>
  </si>
  <si>
    <t>Lập dự án đầu tư _CLC</t>
  </si>
  <si>
    <t>Kinh tế quốc tế_CLC</t>
  </si>
  <si>
    <t>a.17</t>
  </si>
  <si>
    <t>Đầu tư quốc tế</t>
  </si>
  <si>
    <t>a.18</t>
  </si>
  <si>
    <t>a.19</t>
  </si>
  <si>
    <t>Thẩm định dự án đầu tư</t>
  </si>
  <si>
    <t>a.20</t>
  </si>
  <si>
    <t>a.21</t>
  </si>
  <si>
    <t>Quản trị rủi ro đầu tư</t>
  </si>
  <si>
    <t>Đấu thầu trong đầu tư</t>
  </si>
  <si>
    <t>Khoa hướng dẫn luận văn TN</t>
  </si>
  <si>
    <t>Học phần Các học thuyết kinh tế hiện đại</t>
  </si>
  <si>
    <t>Học phần Kinh tế vĩ mô nâng cao</t>
  </si>
  <si>
    <t xml:space="preserve">Học phần Phương pháp NCKH kinh tế </t>
  </si>
  <si>
    <t>Học phần Kinh tế phát triển nâng cao</t>
  </si>
  <si>
    <t>Học phần Kinh tế chính trị Mác Lênin nâng cao</t>
  </si>
  <si>
    <t>Học phần Các mô hình công nghiệp hóa</t>
  </si>
  <si>
    <t>Học phần Phát triển bền vững</t>
  </si>
  <si>
    <t>Học phần Chủ nghĩa tư bản và xu hướng vận động</t>
  </si>
  <si>
    <t>Học phần Kinh tế chính trị ở Việt Nam hiện nay</t>
  </si>
  <si>
    <t>Học phần Quản lý nhà nước và kinh tế xã hội</t>
  </si>
  <si>
    <t>Học phần Quản lý chương trình và dự án công</t>
  </si>
  <si>
    <t>Học phần Quản lý phát triển kinh tế trong toàn cầu hóa</t>
  </si>
  <si>
    <t>Học phần Phân tích và đánh giá chính sách</t>
  </si>
  <si>
    <t>Học phần Quản lý tổ chức</t>
  </si>
  <si>
    <t>Học phần Đàm phán và quản lý xung đột</t>
  </si>
  <si>
    <t>Phương pháp nghiên cứu và viết luận văn</t>
  </si>
  <si>
    <t>Phân tích chính sách kinh tế vĩ mô</t>
  </si>
  <si>
    <t>Quản lý nhà nước về kinh tế</t>
  </si>
  <si>
    <t>(8)=(3)x(4)x(7)</t>
  </si>
  <si>
    <t>Hướng dẫn chuyên đề Tiến sĩ 1</t>
  </si>
  <si>
    <t>Hướng dẫn chuyên đề Tiến sĩ 2</t>
  </si>
  <si>
    <t>Hướng dẫn chuyên đề Tiến sĩ 3</t>
  </si>
  <si>
    <t>KẾ HOẠCH BIÊN SOẠN, XUẤT BẢN GIÁO TRÌNH, TÀI LIỆU HỌC TẬP
Năm tài chính 2022</t>
  </si>
  <si>
    <t xml:space="preserve">KHOA/VIỆN </t>
  </si>
  <si>
    <t>Tên giáo trình/tài liệu học tập 
đăng ký biên soạn, xuất bản</t>
  </si>
  <si>
    <t>Tên học phần tương ứng</t>
  </si>
  <si>
    <t>Hệ ĐT
ĐH/SĐH</t>
  </si>
  <si>
    <t>Mã HP</t>
  </si>
  <si>
    <t>Số TC</t>
  </si>
  <si>
    <t>Chủ biên (chức danh, học vị)</t>
  </si>
  <si>
    <t xml:space="preserve">Các đồng tác giả </t>
  </si>
  <si>
    <t>Thời gian nộp bản thảo</t>
  </si>
  <si>
    <t>Nghệ An, ngày    tháng     năm 2022</t>
  </si>
  <si>
    <t xml:space="preserve">                                                                                                                                                                                            TRƯỞNG ĐƠN VỊ</t>
  </si>
  <si>
    <t>(Ký và ghi rõ họ tên)</t>
  </si>
  <si>
    <t>Dự báo kinh tế và phân tích dữ liệu</t>
  </si>
  <si>
    <t>Học kỳ 2 + Kỳ hè</t>
  </si>
  <si>
    <t>Học phần Quản lý tài chính công</t>
  </si>
  <si>
    <t>Học phần Quản lý nguồn nhân lực</t>
  </si>
  <si>
    <t>Học phần Lãnh đạo</t>
  </si>
  <si>
    <t>a.16</t>
  </si>
  <si>
    <t>Học kỳ 1 năm 2022-2023</t>
  </si>
  <si>
    <t>Đào tạo Cao học (Không chia kỳ)</t>
  </si>
  <si>
    <t>Lê Vũ Sao Mai</t>
  </si>
  <si>
    <t>Nguyễn Thế Lân</t>
  </si>
  <si>
    <t>Trần Thị Hồng Lam</t>
  </si>
  <si>
    <t>Trần Thị Hoàng Mai</t>
  </si>
  <si>
    <t>Lương Thị Quỳnh Mai</t>
  </si>
  <si>
    <t>Nguyễn Thị Bích Liên</t>
  </si>
  <si>
    <t>Nguyễn Thị Thúy Vinh</t>
  </si>
  <si>
    <t>Nguyễn Thị Hải Yến</t>
  </si>
  <si>
    <t>Cao Thị Thanh Vân</t>
  </si>
  <si>
    <t>Nguyễn Thị Minh Phượng</t>
  </si>
  <si>
    <t>Trần Thị Thanh Thủy</t>
  </si>
  <si>
    <t>Nguyễn Thị Thúy Quỳnh</t>
  </si>
  <si>
    <t>Thái Thị Kim Oanh</t>
  </si>
  <si>
    <t>Nguyễn Văn Quỳnh</t>
  </si>
  <si>
    <t>Trần Thị Thanh Tâm</t>
  </si>
  <si>
    <t>Nguyễn Thị Tiếng</t>
  </si>
  <si>
    <t>Nguyễn Mai Hường</t>
  </si>
  <si>
    <t>Đơn vị cấp 3_KHOA KINH TẾ</t>
  </si>
  <si>
    <t>GV</t>
  </si>
  <si>
    <t>GVC</t>
  </si>
  <si>
    <t>Trưởng khoa</t>
  </si>
  <si>
    <t>Chủ tịch công đoàn</t>
  </si>
  <si>
    <t>Phó hiệu trưởng</t>
  </si>
  <si>
    <t>Trợ lý đào tạo</t>
  </si>
  <si>
    <t>Hoạt động chung của TRƯỜNG KINH TẾ</t>
  </si>
  <si>
    <t>Hoạt động của Khoa Kinh tế</t>
  </si>
  <si>
    <t>Thực tập tốt nghiệp K59</t>
  </si>
  <si>
    <t>Chính quy</t>
  </si>
  <si>
    <t>K59</t>
  </si>
  <si>
    <t>Tổ chức ngày hội nhập môn</t>
  </si>
  <si>
    <t>K62</t>
  </si>
  <si>
    <t>Trong trường</t>
  </si>
  <si>
    <t>Tổ chức báo cáo chuyên đề (2 chuyên đề)</t>
  </si>
  <si>
    <t>1, 2</t>
  </si>
  <si>
    <t>Bồi dưỡng nâng cao năng lực chuyên môn</t>
  </si>
  <si>
    <t>Thực tế chuyên môn giảng viên (17 cán bộ)</t>
  </si>
  <si>
    <t>Theo Quy chế tài chính</t>
  </si>
  <si>
    <t>Rèn nghề cho sinh viên</t>
  </si>
  <si>
    <t>K59, 60, 61, 62</t>
  </si>
  <si>
    <t>Mai</t>
  </si>
  <si>
    <t>Hường</t>
  </si>
  <si>
    <t xml:space="preserve">Nguyễn Mai </t>
  </si>
  <si>
    <t>Con nhỏ dưới 36 tháng</t>
  </si>
  <si>
    <t xml:space="preserve">Cao Thị Thanh </t>
  </si>
  <si>
    <t>Vân</t>
  </si>
  <si>
    <t>Lê Vũ Sao</t>
  </si>
  <si>
    <t>Nhân tố ảnh hưởng đến mức độ hài lòng của nhà đầu tư tại Khu kinh tế Đông Nam, tỉnh Nghệ An</t>
  </si>
  <si>
    <t>Nghiên cứu ảnh hưởng dịch Covid-19 đến quá trình học tập của sinh viên các khối ngành kinh tế trường đại học Vinh</t>
  </si>
  <si>
    <t>Quản lý chương trình và dự án công</t>
  </si>
  <si>
    <t>Kinh tế vi mô</t>
  </si>
  <si>
    <t>Chính sách liên kết sản phẩm nông sản theo chuỗi giá trị</t>
  </si>
  <si>
    <t>Kinh tế học quản lý</t>
  </si>
  <si>
    <t>Khoa quản lý HP</t>
  </si>
  <si>
    <t>Lê Vũ Sao Mai, Trần Thị Thanh Thủy, Đào Quang Thắng, Trần Thị Hoàng Mai</t>
  </si>
  <si>
    <t xml:space="preserve">Nguyễn Thị Hải Yến, </t>
  </si>
  <si>
    <t>Sau đại học</t>
  </si>
  <si>
    <t>Khoa Kinh tế</t>
  </si>
  <si>
    <t>Đại học</t>
  </si>
  <si>
    <t>Nguyễn Thị Minh Phượng</t>
  </si>
  <si>
    <t>Danh sách này có 4 giáo trình đăng ký xuất bản</t>
  </si>
  <si>
    <t>Mic không dây</t>
  </si>
  <si>
    <t>Giảng dạy</t>
  </si>
  <si>
    <t>Sử dụng cho các phòng học nhỏ không có hệ thống loa mic</t>
  </si>
  <si>
    <t>Máy tính cho tiến sĩ</t>
  </si>
  <si>
    <t>Máy tính được cấp đã cũ, cấu hình thấp</t>
  </si>
  <si>
    <t>Máy chiếu</t>
  </si>
  <si>
    <t>Phục vụ seminar, sinh hoạt chuyên môn</t>
  </si>
  <si>
    <t>Văn phòng Khoa Kinh tế</t>
  </si>
  <si>
    <t xml:space="preserve">Trần Thị Hồng </t>
  </si>
  <si>
    <t>Lam</t>
  </si>
  <si>
    <t>Chuyên môn</t>
  </si>
  <si>
    <t>Tiếng Anh</t>
  </si>
  <si>
    <t>ĐH</t>
  </si>
  <si>
    <t>Huế</t>
  </si>
  <si>
    <t>2022-2026</t>
  </si>
  <si>
    <t>2020-2022</t>
  </si>
  <si>
    <t>Quỳnh</t>
  </si>
  <si>
    <t>Liên kết giữa trường đại học và doanh nghiệp trong đào tạo và sử dụng lao động ở tỉnh Nghệ An</t>
  </si>
  <si>
    <t>TS. Trần Thị Thanh Tâm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</si>
</sst>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_);_(* \(#,##0\);_(* &quot;-&quot;??_);_(@_)"/>
    <numFmt numFmtId="165" formatCode="0.0"/>
    <numFmt numFmtId="166" formatCode="0.000000"/>
    <numFmt numFmtId="167" formatCode="_(* #,##0.0_);_(* \(#,##0.0\);_(* &quot;-&quot;??_);_(@_)"/>
  </numFmts>
  <fonts count="63" x14ac:knownFonts="1">
    <font>
      <sz val="11"/>
      <color theme="1"/>
      <name val="Calibri"/>
      <family val="2"/>
      <scheme val="minor"/>
    </font>
    <font>
      <sz val="11"/>
      <color theme="1"/>
      <name val="Calibri"/>
      <family val="2"/>
      <scheme val="minor"/>
    </font>
    <font>
      <sz val="11"/>
      <color theme="1"/>
      <name val="Times New Roman"/>
      <family val="1"/>
    </font>
    <font>
      <sz val="10"/>
      <color theme="1"/>
      <name val="Times New Roman"/>
      <family val="1"/>
    </font>
    <font>
      <b/>
      <sz val="10"/>
      <color theme="1"/>
      <name val="Times New Roman"/>
      <family val="1"/>
    </font>
    <font>
      <i/>
      <sz val="10"/>
      <color theme="1"/>
      <name val="Times New Roman"/>
      <family val="1"/>
    </font>
    <font>
      <sz val="10"/>
      <name val="Arial"/>
      <family val="2"/>
    </font>
    <font>
      <b/>
      <i/>
      <sz val="10"/>
      <color theme="1"/>
      <name val="Times New Roman"/>
      <family val="1"/>
    </font>
    <font>
      <b/>
      <sz val="10"/>
      <name val="Times New Roman"/>
      <family val="1"/>
    </font>
    <font>
      <sz val="12"/>
      <color indexed="8"/>
      <name val="Times New Roman"/>
      <family val="1"/>
    </font>
    <font>
      <sz val="10"/>
      <name val="Times New Roman"/>
      <family val="1"/>
    </font>
    <font>
      <b/>
      <i/>
      <sz val="10"/>
      <name val="Times New Roman"/>
      <family val="1"/>
    </font>
    <font>
      <b/>
      <i/>
      <sz val="10"/>
      <name val="Arial"/>
      <family val="2"/>
    </font>
    <font>
      <sz val="12"/>
      <color theme="1"/>
      <name val="Times New Roman"/>
      <family val="1"/>
    </font>
    <font>
      <sz val="11"/>
      <color indexed="8"/>
      <name val="Times New Roman"/>
      <family val="1"/>
    </font>
    <font>
      <sz val="11"/>
      <color rgb="FFFF0000"/>
      <name val="Times New Roman"/>
      <family val="1"/>
    </font>
    <font>
      <sz val="10"/>
      <color rgb="FFFF0000"/>
      <name val="Times New Roman"/>
      <family val="1"/>
    </font>
    <font>
      <sz val="10"/>
      <color rgb="FFFF0000"/>
      <name val="Arial"/>
      <family val="2"/>
    </font>
    <font>
      <b/>
      <sz val="12"/>
      <color theme="1"/>
      <name val="Times New Roman"/>
      <family val="1"/>
    </font>
    <font>
      <b/>
      <i/>
      <sz val="12"/>
      <color theme="1"/>
      <name val="Times New Roman"/>
      <family val="1"/>
    </font>
    <font>
      <b/>
      <sz val="9"/>
      <color theme="1"/>
      <name val="Times New Roman"/>
      <family val="1"/>
    </font>
    <font>
      <b/>
      <sz val="8"/>
      <color theme="1"/>
      <name val="Times New Roman"/>
      <family val="1"/>
    </font>
    <font>
      <b/>
      <sz val="10"/>
      <name val="Arial"/>
      <family val="2"/>
    </font>
    <font>
      <b/>
      <sz val="10"/>
      <color rgb="FFFF0000"/>
      <name val="Times New Roman"/>
      <family val="1"/>
    </font>
    <font>
      <sz val="10"/>
      <color indexed="8"/>
      <name val="Times New Roman"/>
      <family val="1"/>
    </font>
    <font>
      <b/>
      <sz val="9"/>
      <color indexed="81"/>
      <name val="Tahoma"/>
      <family val="2"/>
    </font>
    <font>
      <sz val="9"/>
      <color indexed="81"/>
      <name val="Tahoma"/>
      <family val="2"/>
    </font>
    <font>
      <b/>
      <i/>
      <sz val="12"/>
      <color rgb="FFFF0000"/>
      <name val="Times New Roman"/>
      <family val="1"/>
    </font>
    <font>
      <sz val="8"/>
      <name val="MS Sans Serif"/>
      <family val="2"/>
    </font>
    <font>
      <sz val="11"/>
      <name val="Times New Roman"/>
      <family val="1"/>
    </font>
    <font>
      <b/>
      <sz val="11"/>
      <color theme="1"/>
      <name val="Times New Roman"/>
      <family val="1"/>
    </font>
    <font>
      <sz val="15"/>
      <color indexed="8"/>
      <name val="Times New Roman"/>
      <family val="1"/>
    </font>
    <font>
      <b/>
      <sz val="15"/>
      <color indexed="8"/>
      <name val="Times New Roman"/>
      <family val="1"/>
    </font>
    <font>
      <i/>
      <sz val="10"/>
      <color rgb="FFFF0000"/>
      <name val="Times New Roman"/>
      <family val="1"/>
    </font>
    <font>
      <i/>
      <sz val="10"/>
      <name val="Times New Roman"/>
      <family val="1"/>
    </font>
    <font>
      <b/>
      <sz val="12"/>
      <name val="Times New Roman"/>
      <family val="1"/>
    </font>
    <font>
      <sz val="12"/>
      <name val="Times New Roman"/>
      <family val="1"/>
    </font>
    <font>
      <b/>
      <sz val="11"/>
      <name val="Times New Roman"/>
      <family val="1"/>
    </font>
    <font>
      <i/>
      <sz val="11"/>
      <color theme="1"/>
      <name val="Times New Roman"/>
      <family val="1"/>
    </font>
    <font>
      <b/>
      <sz val="11"/>
      <color rgb="FFFF0000"/>
      <name val="Times New Roman"/>
      <family val="1"/>
    </font>
    <font>
      <i/>
      <sz val="12"/>
      <color theme="1"/>
      <name val="Times New Roman"/>
      <family val="1"/>
    </font>
    <font>
      <sz val="12"/>
      <color rgb="FFFF0000"/>
      <name val="Times New Roman"/>
      <family val="1"/>
    </font>
    <font>
      <b/>
      <sz val="12"/>
      <color indexed="8"/>
      <name val="Times New Roman"/>
      <family val="1"/>
    </font>
    <font>
      <b/>
      <sz val="12"/>
      <color rgb="FFFF0000"/>
      <name val="Times New Roman"/>
      <family val="1"/>
    </font>
    <font>
      <sz val="14"/>
      <name val="Times New Roman"/>
      <family val="1"/>
    </font>
    <font>
      <sz val="14"/>
      <color theme="1"/>
      <name val="Times New Roman"/>
      <family val="1"/>
    </font>
    <font>
      <i/>
      <sz val="12"/>
      <name val="Times New Roman"/>
      <family val="1"/>
    </font>
    <font>
      <i/>
      <sz val="12"/>
      <color indexed="8"/>
      <name val="Times New Roman"/>
      <family val="1"/>
    </font>
    <font>
      <b/>
      <i/>
      <sz val="12"/>
      <color indexed="8"/>
      <name val="Times New Roman"/>
      <family val="1"/>
    </font>
    <font>
      <b/>
      <sz val="16"/>
      <color theme="1"/>
      <name val="Times New Roman"/>
      <family val="1"/>
    </font>
    <font>
      <b/>
      <sz val="14"/>
      <color theme="1"/>
      <name val="Times New Roman"/>
      <family val="1"/>
    </font>
    <font>
      <b/>
      <sz val="11"/>
      <color theme="1"/>
      <name val="Calibri"/>
      <family val="2"/>
      <scheme val="minor"/>
    </font>
    <font>
      <i/>
      <sz val="12"/>
      <color rgb="FFFF0000"/>
      <name val="Times New Roman"/>
      <family val="1"/>
    </font>
    <font>
      <b/>
      <sz val="14"/>
      <name val="Times New Roman"/>
      <family val="1"/>
    </font>
    <font>
      <b/>
      <sz val="16"/>
      <name val="Times New Roman"/>
      <family val="1"/>
    </font>
    <font>
      <i/>
      <sz val="14"/>
      <name val="Times New Roman"/>
      <family val="1"/>
    </font>
    <font>
      <b/>
      <sz val="13"/>
      <color theme="1"/>
      <name val="Times New Roman"/>
      <family val="1"/>
    </font>
    <font>
      <sz val="11"/>
      <color rgb="FFFF0000"/>
      <name val="Calibri"/>
      <family val="2"/>
      <scheme val="minor"/>
    </font>
    <font>
      <b/>
      <sz val="11"/>
      <color indexed="8"/>
      <name val="Times New Roman"/>
      <family val="1"/>
    </font>
    <font>
      <b/>
      <i/>
      <sz val="10"/>
      <color rgb="FFFF0000"/>
      <name val="Times New Roman"/>
      <family val="1"/>
    </font>
    <font>
      <b/>
      <sz val="10"/>
      <color rgb="FFFF0000"/>
      <name val="Arial"/>
      <family val="2"/>
    </font>
    <font>
      <sz val="12"/>
      <name val=".VnTime"/>
      <family val="2"/>
    </font>
    <font>
      <sz val="8"/>
      <name val="Calibri"/>
      <family val="2"/>
      <scheme val="minor"/>
    </font>
  </fonts>
  <fills count="21">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00B0F0"/>
        <bgColor indexed="64"/>
      </patternFill>
    </fill>
    <fill>
      <patternFill patternType="solid">
        <fgColor theme="9" tint="0.39997558519241921"/>
        <bgColor indexed="64"/>
      </patternFill>
    </fill>
    <fill>
      <patternFill patternType="solid">
        <fgColor rgb="FFFF0000"/>
        <bgColor indexed="64"/>
      </patternFill>
    </fill>
    <fill>
      <patternFill patternType="solid">
        <fgColor rgb="FF7030A0"/>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8" tint="0.39997558519241921"/>
        <bgColor indexed="64"/>
      </patternFill>
    </fill>
    <fill>
      <patternFill patternType="solid">
        <fgColor indexed="9"/>
        <bgColor indexed="64"/>
      </patternFill>
    </fill>
  </fills>
  <borders count="112">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bottom/>
      <diagonal/>
    </border>
    <border>
      <left style="thin">
        <color indexed="64"/>
      </left>
      <right style="thin">
        <color indexed="64"/>
      </right>
      <top style="thin">
        <color indexed="64"/>
      </top>
      <bottom style="hair">
        <color indexed="64"/>
      </bottom>
      <diagonal/>
    </border>
    <border>
      <left style="thin">
        <color indexed="8"/>
      </left>
      <right style="thin">
        <color indexed="8"/>
      </right>
      <top style="hair">
        <color indexed="8"/>
      </top>
      <bottom style="hair">
        <color indexed="8"/>
      </bottom>
      <diagonal/>
    </border>
    <border>
      <left style="thin">
        <color indexed="64"/>
      </left>
      <right style="double">
        <color indexed="64"/>
      </right>
      <top style="thin">
        <color indexed="64"/>
      </top>
      <bottom style="hair">
        <color indexed="64"/>
      </bottom>
      <diagonal/>
    </border>
    <border>
      <left style="double">
        <color indexed="64"/>
      </left>
      <right style="thin">
        <color indexed="8"/>
      </right>
      <top/>
      <bottom style="hair">
        <color indexed="8"/>
      </bottom>
      <diagonal/>
    </border>
    <border>
      <left style="thin">
        <color indexed="8"/>
      </left>
      <right style="thin">
        <color indexed="8"/>
      </right>
      <top/>
      <bottom style="hair">
        <color indexed="8"/>
      </bottom>
      <diagonal/>
    </border>
    <border>
      <left style="thin">
        <color indexed="8"/>
      </left>
      <right style="double">
        <color indexed="64"/>
      </right>
      <top/>
      <bottom style="hair">
        <color indexed="8"/>
      </bottom>
      <diagonal/>
    </border>
    <border>
      <left style="double">
        <color indexed="64"/>
      </left>
      <right style="thin">
        <color indexed="8"/>
      </right>
      <top style="hair">
        <color indexed="8"/>
      </top>
      <bottom style="hair">
        <color indexed="8"/>
      </bottom>
      <diagonal/>
    </border>
    <border>
      <left style="thin">
        <color indexed="8"/>
      </left>
      <right style="double">
        <color indexed="64"/>
      </right>
      <top style="hair">
        <color indexed="8"/>
      </top>
      <bottom style="hair">
        <color indexed="8"/>
      </bottom>
      <diagonal/>
    </border>
    <border>
      <left/>
      <right/>
      <top style="double">
        <color indexed="64"/>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double">
        <color indexed="64"/>
      </right>
      <top/>
      <bottom style="hair">
        <color indexed="64"/>
      </bottom>
      <diagonal/>
    </border>
    <border>
      <left style="double">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style="hair">
        <color indexed="64"/>
      </top>
      <bottom/>
      <diagonal/>
    </border>
    <border>
      <left style="thin">
        <color indexed="64"/>
      </left>
      <right style="thin">
        <color indexed="64"/>
      </right>
      <top style="hair">
        <color indexed="64"/>
      </top>
      <bottom/>
      <diagonal/>
    </border>
    <border>
      <left style="double">
        <color indexed="64"/>
      </left>
      <right style="thin">
        <color indexed="64"/>
      </right>
      <top/>
      <bottom/>
      <diagonal/>
    </border>
    <border>
      <left/>
      <right style="thin">
        <color indexed="64"/>
      </right>
      <top/>
      <bottom/>
      <diagonal/>
    </border>
    <border>
      <left style="thin">
        <color indexed="64"/>
      </left>
      <right style="double">
        <color indexed="64"/>
      </right>
      <top style="hair">
        <color indexed="64"/>
      </top>
      <bottom/>
      <diagonal/>
    </border>
    <border>
      <left/>
      <right style="thin">
        <color indexed="64"/>
      </right>
      <top style="hair">
        <color indexed="64"/>
      </top>
      <bottom/>
      <diagonal/>
    </border>
    <border>
      <left style="double">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style="double">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style="double">
        <color indexed="64"/>
      </right>
      <top/>
      <bottom/>
      <diagonal/>
    </border>
    <border>
      <left/>
      <right/>
      <top style="thin">
        <color indexed="64"/>
      </top>
      <bottom style="hair">
        <color indexed="64"/>
      </bottom>
      <diagonal/>
    </border>
    <border>
      <left style="double">
        <color indexed="64"/>
      </left>
      <right style="thin">
        <color indexed="8"/>
      </right>
      <top style="thin">
        <color indexed="8"/>
      </top>
      <bottom style="double">
        <color indexed="64"/>
      </bottom>
      <diagonal/>
    </border>
    <border>
      <left style="thin">
        <color indexed="8"/>
      </left>
      <right style="thin">
        <color indexed="8"/>
      </right>
      <top style="thin">
        <color indexed="8"/>
      </top>
      <bottom style="double">
        <color indexed="64"/>
      </bottom>
      <diagonal/>
    </border>
    <border>
      <left style="thin">
        <color indexed="8"/>
      </left>
      <right style="double">
        <color indexed="64"/>
      </right>
      <top style="thin">
        <color indexed="8"/>
      </top>
      <bottom style="double">
        <color indexed="64"/>
      </bottom>
      <diagonal/>
    </border>
    <border>
      <left/>
      <right/>
      <top/>
      <bottom style="double">
        <color indexed="64"/>
      </bottom>
      <diagonal/>
    </border>
    <border>
      <left style="double">
        <color indexed="64"/>
      </left>
      <right style="thin">
        <color indexed="8"/>
      </right>
      <top style="thin">
        <color indexed="8"/>
      </top>
      <bottom style="hair">
        <color indexed="8"/>
      </bottom>
      <diagonal/>
    </border>
    <border>
      <left style="thin">
        <color indexed="8"/>
      </left>
      <right style="thin">
        <color indexed="8"/>
      </right>
      <top style="thin">
        <color indexed="8"/>
      </top>
      <bottom style="hair">
        <color indexed="8"/>
      </bottom>
      <diagonal/>
    </border>
    <border>
      <left style="thin">
        <color indexed="8"/>
      </left>
      <right style="double">
        <color indexed="64"/>
      </right>
      <top style="thin">
        <color indexed="8"/>
      </top>
      <bottom style="hair">
        <color indexed="8"/>
      </bottom>
      <diagonal/>
    </border>
    <border>
      <left style="double">
        <color indexed="64"/>
      </left>
      <right style="thin">
        <color indexed="8"/>
      </right>
      <top style="hair">
        <color indexed="8"/>
      </top>
      <bottom/>
      <diagonal/>
    </border>
    <border>
      <left style="thin">
        <color indexed="8"/>
      </left>
      <right style="thin">
        <color indexed="8"/>
      </right>
      <top style="hair">
        <color indexed="8"/>
      </top>
      <bottom/>
      <diagonal/>
    </border>
    <border>
      <left style="thin">
        <color indexed="8"/>
      </left>
      <right style="double">
        <color indexed="64"/>
      </right>
      <top style="hair">
        <color indexed="8"/>
      </top>
      <bottom/>
      <diagonal/>
    </border>
    <border>
      <left/>
      <right/>
      <top style="hair">
        <color indexed="64"/>
      </top>
      <bottom style="hair">
        <color indexed="64"/>
      </bottom>
      <diagonal/>
    </border>
    <border>
      <left style="double">
        <color indexed="64"/>
      </left>
      <right/>
      <top style="thin">
        <color indexed="64"/>
      </top>
      <bottom style="double">
        <color indexed="64"/>
      </bottom>
      <diagonal/>
    </border>
    <border>
      <left/>
      <right style="thin">
        <color indexed="8"/>
      </right>
      <top style="thin">
        <color indexed="64"/>
      </top>
      <bottom style="double">
        <color indexed="64"/>
      </bottom>
      <diagonal/>
    </border>
    <border>
      <left style="thin">
        <color indexed="8"/>
      </left>
      <right style="thin">
        <color indexed="8"/>
      </right>
      <top style="thin">
        <color indexed="64"/>
      </top>
      <bottom style="double">
        <color indexed="64"/>
      </bottom>
      <diagonal/>
    </border>
    <border>
      <left style="thin">
        <color indexed="8"/>
      </left>
      <right style="double">
        <color indexed="64"/>
      </right>
      <top style="thin">
        <color indexed="64"/>
      </top>
      <bottom style="double">
        <color indexed="64"/>
      </bottom>
      <diagonal/>
    </border>
    <border>
      <left style="double">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thin">
        <color indexed="64"/>
      </top>
      <bottom style="hair">
        <color indexed="8"/>
      </bottom>
      <diagonal/>
    </border>
    <border>
      <left style="thin">
        <color indexed="64"/>
      </left>
      <right style="double">
        <color indexed="64"/>
      </right>
      <top style="thin">
        <color indexed="64"/>
      </top>
      <bottom style="hair">
        <color indexed="8"/>
      </bottom>
      <diagonal/>
    </border>
    <border>
      <left style="double">
        <color indexed="64"/>
      </left>
      <right style="thin">
        <color indexed="64"/>
      </right>
      <top style="hair">
        <color indexed="8"/>
      </top>
      <bottom style="hair">
        <color indexed="8"/>
      </bottom>
      <diagonal/>
    </border>
    <border>
      <left style="thin">
        <color indexed="64"/>
      </left>
      <right style="double">
        <color indexed="64"/>
      </right>
      <top style="hair">
        <color indexed="8"/>
      </top>
      <bottom style="hair">
        <color indexed="8"/>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double">
        <color indexed="64"/>
      </left>
      <right style="thin">
        <color indexed="8"/>
      </right>
      <top/>
      <bottom style="double">
        <color indexed="64"/>
      </bottom>
      <diagonal/>
    </border>
    <border>
      <left style="thin">
        <color indexed="8"/>
      </left>
      <right style="thin">
        <color indexed="8"/>
      </right>
      <top/>
      <bottom style="double">
        <color indexed="64"/>
      </bottom>
      <diagonal/>
    </border>
    <border>
      <left style="thin">
        <color indexed="8"/>
      </left>
      <right style="double">
        <color indexed="64"/>
      </right>
      <top/>
      <bottom style="double">
        <color indexed="64"/>
      </bottom>
      <diagonal/>
    </border>
    <border>
      <left/>
      <right style="thin">
        <color indexed="64"/>
      </right>
      <top style="hair">
        <color indexed="64"/>
      </top>
      <bottom style="double">
        <color indexed="64"/>
      </bottom>
      <diagonal/>
    </border>
    <border>
      <left/>
      <right style="double">
        <color indexed="64"/>
      </right>
      <top style="hair">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s>
  <cellStyleXfs count="9">
    <xf numFmtId="0" fontId="0" fillId="0" borderId="0"/>
    <xf numFmtId="43" fontId="1" fillId="0" borderId="0" applyFont="0" applyFill="0" applyBorder="0" applyAlignment="0" applyProtection="0"/>
    <xf numFmtId="43" fontId="6" fillId="0" borderId="0" applyFont="0" applyFill="0" applyBorder="0" applyAlignment="0" applyProtection="0"/>
    <xf numFmtId="0" fontId="28" fillId="0" borderId="0" applyAlignment="0">
      <alignment vertical="top" wrapText="1"/>
      <protection locked="0"/>
    </xf>
    <xf numFmtId="0" fontId="28" fillId="0" borderId="0" applyAlignment="0">
      <alignment vertical="top" wrapText="1"/>
      <protection locked="0"/>
    </xf>
    <xf numFmtId="0" fontId="28" fillId="0" borderId="0" applyAlignment="0">
      <alignment vertical="top" wrapText="1"/>
      <protection locked="0"/>
    </xf>
    <xf numFmtId="0" fontId="1" fillId="0" borderId="0"/>
    <xf numFmtId="0" fontId="6" fillId="0" borderId="0"/>
    <xf numFmtId="0" fontId="6" fillId="0" borderId="0"/>
  </cellStyleXfs>
  <cellXfs count="1014">
    <xf numFmtId="0" fontId="0" fillId="0" borderId="0" xfId="0"/>
    <xf numFmtId="0" fontId="3" fillId="0" borderId="0" xfId="0" applyFont="1" applyAlignment="1">
      <alignment wrapText="1"/>
    </xf>
    <xf numFmtId="0" fontId="3" fillId="0" borderId="0" xfId="0" applyFont="1"/>
    <xf numFmtId="0" fontId="5" fillId="0" borderId="0" xfId="0" applyFont="1"/>
    <xf numFmtId="0" fontId="5" fillId="0" borderId="0" xfId="0" applyFont="1" applyAlignment="1">
      <alignment horizontal="right"/>
    </xf>
    <xf numFmtId="164" fontId="4" fillId="0" borderId="1" xfId="1" applyNumberFormat="1" applyFont="1" applyBorder="1" applyAlignment="1">
      <alignment horizontal="center" vertical="center" wrapText="1"/>
    </xf>
    <xf numFmtId="164" fontId="4" fillId="0" borderId="2" xfId="1" applyNumberFormat="1" applyFont="1" applyBorder="1" applyAlignment="1">
      <alignment horizontal="center" vertical="center" wrapText="1"/>
    </xf>
    <xf numFmtId="164" fontId="4" fillId="0" borderId="3" xfId="1" applyNumberFormat="1" applyFont="1" applyBorder="1" applyAlignment="1">
      <alignment horizontal="center" vertical="center" wrapText="1"/>
    </xf>
    <xf numFmtId="164" fontId="4" fillId="0" borderId="4" xfId="1" applyNumberFormat="1" applyFont="1" applyBorder="1" applyAlignment="1">
      <alignment horizontal="center" vertical="center" wrapText="1"/>
    </xf>
    <xf numFmtId="164" fontId="4" fillId="0" borderId="5" xfId="1" applyNumberFormat="1" applyFont="1" applyBorder="1" applyAlignment="1">
      <alignment horizontal="center" vertical="center" wrapText="1"/>
    </xf>
    <xf numFmtId="164" fontId="4" fillId="0" borderId="5" xfId="1" quotePrefix="1" applyNumberFormat="1" applyFont="1" applyBorder="1" applyAlignment="1">
      <alignment horizontal="center" vertical="center" wrapText="1"/>
    </xf>
    <xf numFmtId="43" fontId="4" fillId="0" borderId="6" xfId="1" applyFont="1" applyBorder="1" applyAlignment="1">
      <alignment horizontal="center" vertical="center" wrapText="1"/>
    </xf>
    <xf numFmtId="164" fontId="4" fillId="0" borderId="7" xfId="1" quotePrefix="1" applyNumberFormat="1" applyFont="1" applyBorder="1" applyAlignment="1">
      <alignment horizontal="center" vertical="center" wrapText="1"/>
    </xf>
    <xf numFmtId="0" fontId="3" fillId="0" borderId="11" xfId="0" applyFont="1" applyBorder="1" applyAlignment="1">
      <alignment horizontal="center" vertical="center" wrapText="1"/>
    </xf>
    <xf numFmtId="0" fontId="7" fillId="0" borderId="6" xfId="0" applyFont="1" applyBorder="1" applyAlignment="1">
      <alignment horizontal="left" vertical="center" wrapText="1"/>
    </xf>
    <xf numFmtId="0" fontId="3" fillId="0" borderId="6" xfId="0" applyFont="1" applyBorder="1" applyAlignment="1">
      <alignment horizontal="center" vertical="center" wrapText="1"/>
    </xf>
    <xf numFmtId="43" fontId="3" fillId="0" borderId="6" xfId="1" applyFont="1" applyBorder="1" applyAlignment="1">
      <alignment horizontal="center" vertical="center" wrapText="1"/>
    </xf>
    <xf numFmtId="0" fontId="3" fillId="0" borderId="12" xfId="0" applyFont="1" applyBorder="1" applyAlignment="1">
      <alignment vertical="center"/>
    </xf>
    <xf numFmtId="0" fontId="3" fillId="0" borderId="6" xfId="0" applyFont="1" applyBorder="1" applyAlignment="1">
      <alignment horizontal="left" vertical="center" wrapText="1"/>
    </xf>
    <xf numFmtId="0" fontId="7" fillId="0" borderId="11" xfId="0" applyFont="1" applyBorder="1" applyAlignment="1">
      <alignment horizontal="center" vertical="center" wrapText="1"/>
    </xf>
    <xf numFmtId="0" fontId="7" fillId="0" borderId="6" xfId="0" quotePrefix="1" applyFont="1" applyBorder="1" applyAlignment="1">
      <alignment horizontal="left" vertical="center" wrapText="1"/>
    </xf>
    <xf numFmtId="0" fontId="7" fillId="0" borderId="6" xfId="0" applyFont="1" applyBorder="1" applyAlignment="1">
      <alignment horizontal="center" vertical="center" wrapText="1"/>
    </xf>
    <xf numFmtId="43" fontId="7" fillId="0" borderId="6" xfId="1" applyFont="1" applyBorder="1" applyAlignment="1">
      <alignment horizontal="center" vertical="center" wrapText="1"/>
    </xf>
    <xf numFmtId="0" fontId="7" fillId="0" borderId="12" xfId="0" applyFont="1" applyBorder="1" applyAlignment="1">
      <alignment vertical="center"/>
    </xf>
    <xf numFmtId="0" fontId="8" fillId="2" borderId="6" xfId="0" applyFont="1" applyFill="1" applyBorder="1" applyAlignment="1">
      <alignment horizontal="justify" vertical="center" wrapText="1"/>
    </xf>
    <xf numFmtId="0" fontId="3" fillId="2" borderId="6" xfId="0" applyFont="1" applyFill="1" applyBorder="1" applyAlignment="1">
      <alignment horizontal="center" vertical="center" wrapText="1"/>
    </xf>
    <xf numFmtId="43" fontId="3" fillId="2" borderId="6" xfId="1" applyFont="1" applyFill="1" applyBorder="1" applyAlignment="1">
      <alignment horizontal="center" vertical="center" wrapText="1"/>
    </xf>
    <xf numFmtId="43" fontId="4" fillId="2" borderId="6" xfId="1" applyFont="1" applyFill="1" applyBorder="1" applyAlignment="1">
      <alignment horizontal="center" vertical="center" wrapText="1"/>
    </xf>
    <xf numFmtId="0" fontId="3" fillId="2" borderId="12" xfId="0" applyFont="1" applyFill="1" applyBorder="1" applyAlignment="1">
      <alignment vertical="center"/>
    </xf>
    <xf numFmtId="0" fontId="3" fillId="0" borderId="0" xfId="0" applyFont="1" applyAlignment="1">
      <alignment horizontal="center"/>
    </xf>
    <xf numFmtId="0" fontId="3" fillId="3" borderId="0" xfId="0" applyFont="1" applyFill="1" applyAlignment="1">
      <alignment horizontal="center"/>
    </xf>
    <xf numFmtId="0" fontId="4" fillId="3" borderId="0" xfId="0" applyFont="1" applyFill="1" applyAlignment="1">
      <alignment wrapText="1"/>
    </xf>
    <xf numFmtId="0" fontId="3" fillId="3" borderId="0" xfId="0" applyFont="1" applyFill="1" applyAlignment="1">
      <alignment wrapText="1"/>
    </xf>
    <xf numFmtId="0" fontId="3" fillId="3" borderId="0" xfId="0" applyFont="1" applyFill="1" applyAlignment="1">
      <alignment horizontal="left" wrapText="1"/>
    </xf>
    <xf numFmtId="0" fontId="10" fillId="0" borderId="0" xfId="0" applyFont="1"/>
    <xf numFmtId="0" fontId="4" fillId="4" borderId="11" xfId="0" applyFont="1" applyFill="1" applyBorder="1" applyAlignment="1">
      <alignment horizontal="right" vertical="center" wrapText="1"/>
    </xf>
    <xf numFmtId="0" fontId="4" fillId="4" borderId="6" xfId="0" applyFont="1" applyFill="1" applyBorder="1" applyAlignment="1">
      <alignment horizontal="justify" vertical="center" wrapText="1"/>
    </xf>
    <xf numFmtId="0" fontId="3" fillId="4" borderId="6" xfId="0" applyFont="1" applyFill="1" applyBorder="1" applyAlignment="1">
      <alignment horizontal="center" vertical="center" wrapText="1"/>
    </xf>
    <xf numFmtId="43" fontId="4" fillId="4" borderId="6" xfId="1" applyFont="1" applyFill="1" applyBorder="1" applyAlignment="1">
      <alignment horizontal="center" vertical="center" wrapText="1"/>
    </xf>
    <xf numFmtId="0" fontId="3" fillId="4" borderId="12" xfId="0" applyFont="1" applyFill="1" applyBorder="1" applyAlignment="1">
      <alignment vertical="center"/>
    </xf>
    <xf numFmtId="0" fontId="3" fillId="0" borderId="0" xfId="0" applyFont="1" applyAlignment="1">
      <alignment vertical="top" wrapText="1"/>
    </xf>
    <xf numFmtId="0" fontId="10" fillId="0" borderId="0" xfId="0" applyFont="1" applyAlignment="1">
      <alignment vertical="top"/>
    </xf>
    <xf numFmtId="0" fontId="0" fillId="0" borderId="0" xfId="0" applyAlignment="1">
      <alignment vertical="top"/>
    </xf>
    <xf numFmtId="0" fontId="7" fillId="0" borderId="0" xfId="0" applyFont="1" applyAlignment="1">
      <alignment vertical="top" wrapText="1"/>
    </xf>
    <xf numFmtId="0" fontId="11" fillId="0" borderId="0" xfId="0" applyFont="1" applyAlignment="1">
      <alignment vertical="top"/>
    </xf>
    <xf numFmtId="0" fontId="12" fillId="0" borderId="0" xfId="0" applyFont="1" applyAlignment="1">
      <alignment vertical="top"/>
    </xf>
    <xf numFmtId="0" fontId="4" fillId="4" borderId="11" xfId="0" applyFont="1" applyFill="1" applyBorder="1" applyAlignment="1">
      <alignment horizontal="center" vertical="center" wrapText="1"/>
    </xf>
    <xf numFmtId="0" fontId="14" fillId="3" borderId="0" xfId="0" applyFont="1" applyFill="1" applyAlignment="1">
      <alignment wrapText="1"/>
    </xf>
    <xf numFmtId="0" fontId="15" fillId="2" borderId="0" xfId="0" applyFont="1" applyFill="1"/>
    <xf numFmtId="0" fontId="15" fillId="2" borderId="0" xfId="0" applyFont="1" applyFill="1" applyAlignment="1">
      <alignment wrapText="1"/>
    </xf>
    <xf numFmtId="0" fontId="16" fillId="2" borderId="0" xfId="0" applyFont="1" applyFill="1" applyAlignment="1">
      <alignment wrapText="1"/>
    </xf>
    <xf numFmtId="0" fontId="16" fillId="2" borderId="0" xfId="0" applyFont="1" applyFill="1"/>
    <xf numFmtId="0" fontId="17" fillId="2" borderId="0" xfId="0" applyFont="1" applyFill="1"/>
    <xf numFmtId="0" fontId="3" fillId="3" borderId="0" xfId="0" applyFont="1" applyFill="1"/>
    <xf numFmtId="0" fontId="10" fillId="0" borderId="0" xfId="0" applyFont="1" applyAlignment="1">
      <alignment horizontal="center"/>
    </xf>
    <xf numFmtId="0" fontId="10" fillId="0" borderId="0" xfId="0" applyFont="1" applyAlignment="1">
      <alignment wrapText="1"/>
    </xf>
    <xf numFmtId="0" fontId="0" fillId="0" borderId="0" xfId="0" applyAlignment="1">
      <alignment horizontal="center"/>
    </xf>
    <xf numFmtId="0" fontId="0" fillId="0" borderId="0" xfId="0" applyAlignment="1">
      <alignment wrapText="1"/>
    </xf>
    <xf numFmtId="0" fontId="8" fillId="2" borderId="11" xfId="0" applyFont="1" applyFill="1" applyBorder="1" applyAlignment="1">
      <alignment horizontal="center" vertical="center" wrapText="1"/>
    </xf>
    <xf numFmtId="0" fontId="4" fillId="0" borderId="0" xfId="0" applyFont="1" applyAlignment="1">
      <alignment wrapText="1"/>
    </xf>
    <xf numFmtId="0" fontId="18" fillId="0" borderId="0" xfId="0" applyFont="1" applyAlignment="1">
      <alignment horizontal="right" wrapText="1"/>
    </xf>
    <xf numFmtId="0" fontId="4" fillId="0" borderId="0" xfId="0" applyFont="1" applyAlignment="1">
      <alignment horizontal="center"/>
    </xf>
    <xf numFmtId="0" fontId="5" fillId="0" borderId="0" xfId="0" applyFont="1" applyAlignment="1">
      <alignment horizontal="center"/>
    </xf>
    <xf numFmtId="0" fontId="6" fillId="0" borderId="0" xfId="0" applyFont="1"/>
    <xf numFmtId="49" fontId="3" fillId="0" borderId="0" xfId="0" applyNumberFormat="1" applyFont="1" applyAlignment="1">
      <alignment horizontal="center"/>
    </xf>
    <xf numFmtId="49" fontId="10" fillId="0" borderId="0" xfId="0" applyNumberFormat="1" applyFont="1" applyAlignment="1">
      <alignment horizontal="center"/>
    </xf>
    <xf numFmtId="49" fontId="6" fillId="0" borderId="0" xfId="0" applyNumberFormat="1" applyFont="1" applyAlignment="1">
      <alignment horizontal="center"/>
    </xf>
    <xf numFmtId="164" fontId="4" fillId="6" borderId="26" xfId="1" applyNumberFormat="1" applyFont="1" applyFill="1" applyBorder="1" applyAlignment="1">
      <alignment vertical="center" wrapText="1"/>
    </xf>
    <xf numFmtId="164" fontId="4" fillId="6" borderId="27" xfId="1" applyNumberFormat="1" applyFont="1" applyFill="1" applyBorder="1" applyAlignment="1">
      <alignment vertical="center" wrapText="1"/>
    </xf>
    <xf numFmtId="164" fontId="4" fillId="6" borderId="5" xfId="1" applyNumberFormat="1" applyFont="1" applyFill="1" applyBorder="1" applyAlignment="1">
      <alignment vertical="center" wrapText="1"/>
    </xf>
    <xf numFmtId="164" fontId="4" fillId="6" borderId="7" xfId="1" applyNumberFormat="1" applyFont="1" applyFill="1" applyBorder="1" applyAlignment="1">
      <alignment vertical="center" wrapText="1"/>
    </xf>
    <xf numFmtId="164" fontId="4" fillId="7" borderId="28" xfId="1" applyNumberFormat="1" applyFont="1" applyFill="1" applyBorder="1" applyAlignment="1">
      <alignment vertical="center" wrapText="1"/>
    </xf>
    <xf numFmtId="164" fontId="4" fillId="7" borderId="29" xfId="1" applyNumberFormat="1" applyFont="1" applyFill="1" applyBorder="1" applyAlignment="1">
      <alignment vertical="center" wrapText="1"/>
    </xf>
    <xf numFmtId="164" fontId="4" fillId="7" borderId="30" xfId="1" applyNumberFormat="1" applyFont="1" applyFill="1" applyBorder="1" applyAlignment="1">
      <alignment vertical="center" wrapText="1"/>
    </xf>
    <xf numFmtId="164" fontId="4" fillId="7" borderId="31" xfId="1" applyNumberFormat="1" applyFont="1" applyFill="1" applyBorder="1" applyAlignment="1">
      <alignment vertical="center" wrapText="1"/>
    </xf>
    <xf numFmtId="164" fontId="4" fillId="0" borderId="28" xfId="1" applyNumberFormat="1" applyFont="1" applyFill="1" applyBorder="1" applyAlignment="1">
      <alignment vertical="center" wrapText="1"/>
    </xf>
    <xf numFmtId="164" fontId="4" fillId="0" borderId="29" xfId="1" applyNumberFormat="1" applyFont="1" applyFill="1" applyBorder="1" applyAlignment="1">
      <alignment vertical="center" wrapText="1"/>
    </xf>
    <xf numFmtId="164" fontId="4" fillId="0" borderId="30" xfId="1" applyNumberFormat="1" applyFont="1" applyFill="1" applyBorder="1" applyAlignment="1">
      <alignment vertical="center" wrapText="1"/>
    </xf>
    <xf numFmtId="164" fontId="4" fillId="0" borderId="31" xfId="1" applyNumberFormat="1" applyFont="1" applyFill="1" applyBorder="1" applyAlignment="1">
      <alignment vertical="center" wrapText="1"/>
    </xf>
    <xf numFmtId="0" fontId="4" fillId="0" borderId="32" xfId="0" applyFont="1" applyBorder="1" applyAlignment="1">
      <alignment horizontal="center" vertical="top" wrapText="1"/>
    </xf>
    <xf numFmtId="0" fontId="4" fillId="0" borderId="33" xfId="0" applyFont="1" applyBorder="1" applyAlignment="1">
      <alignment horizontal="left" vertical="top" wrapText="1"/>
    </xf>
    <xf numFmtId="0" fontId="4" fillId="0" borderId="34" xfId="0" applyFont="1" applyBorder="1" applyAlignment="1">
      <alignment horizontal="justify" vertical="center" wrapText="1"/>
    </xf>
    <xf numFmtId="0" fontId="4" fillId="0" borderId="34" xfId="0" applyFont="1" applyBorder="1" applyAlignment="1">
      <alignment horizontal="center" vertical="center" wrapText="1"/>
    </xf>
    <xf numFmtId="0" fontId="4" fillId="0" borderId="34" xfId="0" applyFont="1" applyBorder="1" applyAlignment="1">
      <alignment horizontal="center" vertical="top" wrapText="1"/>
    </xf>
    <xf numFmtId="0" fontId="4" fillId="0" borderId="35" xfId="0" applyFont="1" applyBorder="1" applyAlignment="1">
      <alignment vertical="top"/>
    </xf>
    <xf numFmtId="0" fontId="4" fillId="0" borderId="0" xfId="0" applyFont="1" applyAlignment="1">
      <alignment vertical="top"/>
    </xf>
    <xf numFmtId="0" fontId="8" fillId="0" borderId="0" xfId="0" applyFont="1" applyAlignment="1">
      <alignment vertical="top"/>
    </xf>
    <xf numFmtId="0" fontId="22" fillId="0" borderId="0" xfId="0" applyFont="1" applyAlignment="1">
      <alignment vertical="top"/>
    </xf>
    <xf numFmtId="0" fontId="3" fillId="0" borderId="33" xfId="0" applyFont="1" applyBorder="1" applyAlignment="1">
      <alignment horizontal="left" vertical="top" wrapText="1"/>
    </xf>
    <xf numFmtId="0" fontId="3" fillId="0" borderId="34" xfId="0" applyFont="1" applyBorder="1" applyAlignment="1">
      <alignment horizontal="justify" vertical="center"/>
    </xf>
    <xf numFmtId="0" fontId="3" fillId="0" borderId="34" xfId="0" applyFont="1" applyBorder="1" applyAlignment="1">
      <alignment horizontal="center" vertical="top" wrapText="1"/>
    </xf>
    <xf numFmtId="0" fontId="3" fillId="0" borderId="35" xfId="0" applyFont="1" applyBorder="1" applyAlignment="1">
      <alignment vertical="top"/>
    </xf>
    <xf numFmtId="1" fontId="3" fillId="0" borderId="38" xfId="0" applyNumberFormat="1" applyFont="1" applyBorder="1" applyAlignment="1">
      <alignment vertical="top" wrapText="1"/>
    </xf>
    <xf numFmtId="1" fontId="4" fillId="0" borderId="38" xfId="0" applyNumberFormat="1" applyFont="1" applyBorder="1" applyAlignment="1">
      <alignment horizontal="center" vertical="top" wrapText="1"/>
    </xf>
    <xf numFmtId="165" fontId="4" fillId="0" borderId="33" xfId="0" applyNumberFormat="1" applyFont="1" applyBorder="1" applyAlignment="1">
      <alignment vertical="top" wrapText="1"/>
    </xf>
    <xf numFmtId="165" fontId="3" fillId="0" borderId="33" xfId="0" applyNumberFormat="1" applyFont="1" applyBorder="1" applyAlignment="1">
      <alignment vertical="top" wrapText="1"/>
    </xf>
    <xf numFmtId="1" fontId="3" fillId="0" borderId="28" xfId="0" applyNumberFormat="1" applyFont="1" applyBorder="1" applyAlignment="1">
      <alignment vertical="top" wrapText="1"/>
    </xf>
    <xf numFmtId="0" fontId="3" fillId="0" borderId="30" xfId="0" applyFont="1" applyBorder="1" applyAlignment="1">
      <alignment vertical="center" wrapText="1"/>
    </xf>
    <xf numFmtId="0" fontId="3" fillId="0" borderId="34" xfId="0" applyFont="1" applyBorder="1" applyAlignment="1">
      <alignment horizontal="center" vertical="center" wrapText="1"/>
    </xf>
    <xf numFmtId="1" fontId="4" fillId="0" borderId="28" xfId="0" applyNumberFormat="1" applyFont="1" applyBorder="1" applyAlignment="1">
      <alignment horizontal="center" vertical="top" wrapText="1"/>
    </xf>
    <xf numFmtId="0" fontId="3" fillId="7" borderId="34" xfId="0" applyFont="1" applyFill="1" applyBorder="1" applyAlignment="1">
      <alignment horizontal="left" vertical="center" wrapText="1"/>
    </xf>
    <xf numFmtId="0" fontId="3" fillId="7" borderId="34" xfId="0" applyFont="1" applyFill="1" applyBorder="1" applyAlignment="1">
      <alignment horizontal="center" vertical="center" wrapText="1"/>
    </xf>
    <xf numFmtId="0" fontId="3" fillId="7" borderId="34" xfId="0" applyFont="1" applyFill="1" applyBorder="1" applyAlignment="1">
      <alignment horizontal="center" vertical="top" wrapText="1"/>
    </xf>
    <xf numFmtId="0" fontId="3" fillId="7" borderId="35" xfId="0" applyFont="1" applyFill="1" applyBorder="1" applyAlignment="1">
      <alignment vertical="top"/>
    </xf>
    <xf numFmtId="0" fontId="3" fillId="0" borderId="34" xfId="0" applyFont="1" applyBorder="1" applyAlignment="1">
      <alignment horizontal="left" vertical="center" wrapText="1"/>
    </xf>
    <xf numFmtId="1" fontId="3" fillId="0" borderId="32" xfId="0" applyNumberFormat="1" applyFont="1" applyBorder="1" applyAlignment="1">
      <alignment vertical="top" wrapText="1"/>
    </xf>
    <xf numFmtId="1" fontId="3" fillId="0" borderId="36" xfId="0" applyNumberFormat="1" applyFont="1" applyBorder="1" applyAlignment="1">
      <alignment vertical="top" wrapText="1"/>
    </xf>
    <xf numFmtId="0" fontId="4" fillId="0" borderId="34" xfId="0" applyFont="1" applyBorder="1" applyAlignment="1">
      <alignment horizontal="left" vertical="center" wrapText="1"/>
    </xf>
    <xf numFmtId="0" fontId="3" fillId="0" borderId="34" xfId="0" applyFont="1" applyBorder="1" applyAlignment="1">
      <alignment horizontal="justify" vertical="center" wrapText="1"/>
    </xf>
    <xf numFmtId="1" fontId="4" fillId="0" borderId="38" xfId="0" applyNumberFormat="1" applyFont="1" applyBorder="1" applyAlignment="1">
      <alignment vertical="top" wrapText="1"/>
    </xf>
    <xf numFmtId="164" fontId="4" fillId="0" borderId="26" xfId="1" applyNumberFormat="1" applyFont="1" applyFill="1" applyBorder="1" applyAlignment="1">
      <alignment vertical="center" wrapText="1"/>
    </xf>
    <xf numFmtId="164" fontId="4" fillId="0" borderId="38" xfId="1" applyNumberFormat="1" applyFont="1" applyFill="1" applyBorder="1" applyAlignment="1">
      <alignment vertical="center" wrapText="1"/>
    </xf>
    <xf numFmtId="164" fontId="4" fillId="0" borderId="39" xfId="1" applyNumberFormat="1" applyFont="1" applyFill="1" applyBorder="1" applyAlignment="1">
      <alignment vertical="center" wrapText="1"/>
    </xf>
    <xf numFmtId="0" fontId="3" fillId="0" borderId="37" xfId="0" applyFont="1" applyBorder="1" applyAlignment="1">
      <alignment horizontal="justify" vertical="center" wrapText="1"/>
    </xf>
    <xf numFmtId="0" fontId="3" fillId="0" borderId="37" xfId="0" applyFont="1" applyBorder="1" applyAlignment="1">
      <alignment horizontal="center" vertical="center" wrapText="1"/>
    </xf>
    <xf numFmtId="0" fontId="3" fillId="0" borderId="37" xfId="0" applyFont="1" applyBorder="1" applyAlignment="1">
      <alignment horizontal="center" vertical="top" wrapText="1"/>
    </xf>
    <xf numFmtId="0" fontId="3" fillId="0" borderId="40" xfId="0" applyFont="1" applyBorder="1" applyAlignment="1">
      <alignment vertical="top"/>
    </xf>
    <xf numFmtId="1" fontId="4" fillId="6" borderId="36" xfId="0" applyNumberFormat="1" applyFont="1" applyFill="1" applyBorder="1" applyAlignment="1">
      <alignment vertical="top" wrapText="1"/>
    </xf>
    <xf numFmtId="0" fontId="4" fillId="6" borderId="41" xfId="0" applyFont="1" applyFill="1" applyBorder="1" applyAlignment="1">
      <alignment horizontal="left" vertical="top" wrapText="1"/>
    </xf>
    <xf numFmtId="0" fontId="3" fillId="6" borderId="37" xfId="0" applyFont="1" applyFill="1" applyBorder="1" applyAlignment="1">
      <alignment horizontal="justify" vertical="center" wrapText="1"/>
    </xf>
    <xf numFmtId="164" fontId="3" fillId="6" borderId="37" xfId="0" applyNumberFormat="1" applyFont="1" applyFill="1" applyBorder="1" applyAlignment="1">
      <alignment horizontal="justify" vertical="center" wrapText="1"/>
    </xf>
    <xf numFmtId="0" fontId="3" fillId="6" borderId="40" xfId="0" applyFont="1" applyFill="1" applyBorder="1" applyAlignment="1">
      <alignment vertical="top"/>
    </xf>
    <xf numFmtId="0" fontId="3" fillId="0" borderId="0" xfId="0" applyFont="1" applyAlignment="1">
      <alignment vertical="top"/>
    </xf>
    <xf numFmtId="0" fontId="6" fillId="0" borderId="0" xfId="0" applyFont="1" applyAlignment="1">
      <alignment vertical="top"/>
    </xf>
    <xf numFmtId="164" fontId="4" fillId="6" borderId="28" xfId="1" applyNumberFormat="1" applyFont="1" applyFill="1" applyBorder="1" applyAlignment="1">
      <alignment vertical="center" wrapText="1"/>
    </xf>
    <xf numFmtId="164" fontId="4" fillId="6" borderId="29" xfId="1" applyNumberFormat="1" applyFont="1" applyFill="1" applyBorder="1" applyAlignment="1">
      <alignment vertical="center" wrapText="1"/>
    </xf>
    <xf numFmtId="0" fontId="3" fillId="6" borderId="37" xfId="0" applyFont="1" applyFill="1" applyBorder="1" applyAlignment="1">
      <alignment horizontal="center" vertical="center" wrapText="1"/>
    </xf>
    <xf numFmtId="0" fontId="3" fillId="6" borderId="37" xfId="0" applyFont="1" applyFill="1" applyBorder="1" applyAlignment="1">
      <alignment horizontal="center" vertical="top" wrapText="1"/>
    </xf>
    <xf numFmtId="1" fontId="3" fillId="6" borderId="36" xfId="0" applyNumberFormat="1" applyFont="1" applyFill="1" applyBorder="1" applyAlignment="1">
      <alignment vertical="top" wrapText="1"/>
    </xf>
    <xf numFmtId="0" fontId="3" fillId="6" borderId="41" xfId="0" applyFont="1" applyFill="1" applyBorder="1" applyAlignment="1">
      <alignment horizontal="left" vertical="top" wrapText="1"/>
    </xf>
    <xf numFmtId="0" fontId="3" fillId="0" borderId="41" xfId="0" applyFont="1" applyBorder="1" applyAlignment="1">
      <alignment horizontal="left" vertical="top" wrapText="1"/>
    </xf>
    <xf numFmtId="1" fontId="3" fillId="0" borderId="42" xfId="0" applyNumberFormat="1" applyFont="1" applyBorder="1" applyAlignment="1">
      <alignment vertical="top" wrapText="1"/>
    </xf>
    <xf numFmtId="0" fontId="3" fillId="0" borderId="43" xfId="0" applyFont="1" applyBorder="1" applyAlignment="1">
      <alignment horizontal="left" vertical="top" wrapText="1"/>
    </xf>
    <xf numFmtId="0" fontId="3" fillId="0" borderId="43" xfId="0" applyFont="1" applyBorder="1" applyAlignment="1">
      <alignment horizontal="justify" vertical="center" wrapText="1"/>
    </xf>
    <xf numFmtId="0" fontId="3" fillId="0" borderId="43" xfId="0" applyFont="1" applyBorder="1" applyAlignment="1">
      <alignment horizontal="center" vertical="center" wrapText="1"/>
    </xf>
    <xf numFmtId="0" fontId="3" fillId="0" borderId="43" xfId="0" applyFont="1" applyBorder="1" applyAlignment="1">
      <alignment horizontal="center" vertical="top" wrapText="1"/>
    </xf>
    <xf numFmtId="0" fontId="3" fillId="0" borderId="44" xfId="0" applyFont="1" applyBorder="1" applyAlignment="1">
      <alignment vertical="top"/>
    </xf>
    <xf numFmtId="0" fontId="3" fillId="0" borderId="0" xfId="0" quotePrefix="1" applyFont="1" applyAlignment="1">
      <alignment horizontal="left"/>
    </xf>
    <xf numFmtId="166" fontId="3" fillId="0" borderId="0" xfId="0" applyNumberFormat="1" applyFont="1" applyAlignment="1">
      <alignment wrapText="1"/>
    </xf>
    <xf numFmtId="0" fontId="3" fillId="0" borderId="0" xfId="0" quotePrefix="1" applyFont="1"/>
    <xf numFmtId="0" fontId="18" fillId="0" borderId="0" xfId="0" applyFont="1" applyAlignment="1">
      <alignment horizontal="center" vertical="center"/>
    </xf>
    <xf numFmtId="0" fontId="0" fillId="0" borderId="0" xfId="0" applyAlignment="1">
      <alignment vertical="center"/>
    </xf>
    <xf numFmtId="0" fontId="0" fillId="0" borderId="0" xfId="0" applyAlignment="1">
      <alignment vertical="center" wrapText="1"/>
    </xf>
    <xf numFmtId="0" fontId="18" fillId="0" borderId="0" xfId="0" applyFont="1" applyAlignment="1">
      <alignment horizontal="right"/>
    </xf>
    <xf numFmtId="164" fontId="4" fillId="0" borderId="21" xfId="2" applyNumberFormat="1" applyFont="1" applyBorder="1" applyAlignment="1">
      <alignment horizontal="center" vertical="center" wrapText="1"/>
    </xf>
    <xf numFmtId="49" fontId="4" fillId="0" borderId="23" xfId="2" quotePrefix="1" applyNumberFormat="1" applyFont="1" applyFill="1" applyBorder="1" applyAlignment="1">
      <alignment horizontal="center" vertical="center" wrapText="1"/>
    </xf>
    <xf numFmtId="49" fontId="4" fillId="0" borderId="24" xfId="2" quotePrefix="1" applyNumberFormat="1" applyFont="1" applyFill="1" applyBorder="1" applyAlignment="1">
      <alignment horizontal="center" vertical="center" wrapText="1"/>
    </xf>
    <xf numFmtId="49" fontId="4" fillId="0" borderId="24" xfId="2" applyNumberFormat="1" applyFont="1" applyFill="1" applyBorder="1" applyAlignment="1">
      <alignment horizontal="center" vertical="center" wrapText="1"/>
    </xf>
    <xf numFmtId="49" fontId="21" fillId="0" borderId="24" xfId="2" quotePrefix="1" applyNumberFormat="1" applyFont="1" applyFill="1" applyBorder="1" applyAlignment="1">
      <alignment horizontal="center" vertical="center" wrapText="1"/>
    </xf>
    <xf numFmtId="49" fontId="4" fillId="0" borderId="25" xfId="2" applyNumberFormat="1" applyFont="1" applyFill="1" applyBorder="1" applyAlignment="1">
      <alignment horizontal="center" vertical="center" wrapText="1"/>
    </xf>
    <xf numFmtId="164" fontId="4" fillId="0" borderId="26" xfId="2" applyNumberFormat="1" applyFont="1" applyBorder="1" applyAlignment="1">
      <alignment horizontal="center" vertical="center" wrapText="1"/>
    </xf>
    <xf numFmtId="164" fontId="3" fillId="0" borderId="5" xfId="2" applyNumberFormat="1" applyFont="1" applyBorder="1" applyAlignment="1">
      <alignment horizontal="left" vertical="center" wrapText="1"/>
    </xf>
    <xf numFmtId="164" fontId="4" fillId="0" borderId="5" xfId="2" applyNumberFormat="1" applyFont="1" applyBorder="1" applyAlignment="1">
      <alignment horizontal="center" vertical="center" wrapText="1"/>
    </xf>
    <xf numFmtId="164" fontId="4" fillId="0" borderId="7" xfId="2" applyNumberFormat="1" applyFont="1" applyBorder="1" applyAlignment="1">
      <alignment horizontal="center" vertical="center" wrapText="1"/>
    </xf>
    <xf numFmtId="0" fontId="0" fillId="0" borderId="49" xfId="0" applyBorder="1"/>
    <xf numFmtId="164" fontId="4" fillId="0" borderId="32" xfId="2" applyNumberFormat="1" applyFont="1" applyBorder="1" applyAlignment="1">
      <alignment horizontal="center" vertical="center" wrapText="1"/>
    </xf>
    <xf numFmtId="164" fontId="3" fillId="0" borderId="34" xfId="2" applyNumberFormat="1" applyFont="1" applyBorder="1" applyAlignment="1">
      <alignment horizontal="left" vertical="center" wrapText="1"/>
    </xf>
    <xf numFmtId="164" fontId="4" fillId="0" borderId="34" xfId="2" applyNumberFormat="1" applyFont="1" applyBorder="1" applyAlignment="1">
      <alignment horizontal="center" vertical="center" wrapText="1"/>
    </xf>
    <xf numFmtId="164" fontId="4" fillId="0" borderId="35" xfId="2" applyNumberFormat="1"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justify" vertical="center" wrapText="1"/>
    </xf>
    <xf numFmtId="0" fontId="4" fillId="0" borderId="9" xfId="0" applyFont="1" applyBorder="1" applyAlignment="1">
      <alignment horizontal="center" vertical="center" wrapText="1"/>
    </xf>
    <xf numFmtId="0" fontId="4" fillId="0" borderId="9" xfId="0" applyFont="1" applyBorder="1" applyAlignment="1">
      <alignment vertical="center"/>
    </xf>
    <xf numFmtId="0" fontId="4" fillId="0" borderId="10" xfId="0" applyFont="1" applyBorder="1" applyAlignment="1">
      <alignment vertical="center"/>
    </xf>
    <xf numFmtId="0" fontId="3" fillId="0" borderId="8" xfId="0" applyFont="1" applyBorder="1" applyAlignment="1">
      <alignment horizontal="center" vertical="center" wrapText="1"/>
    </xf>
    <xf numFmtId="0" fontId="3" fillId="0" borderId="9" xfId="0" applyFont="1" applyBorder="1" applyAlignment="1">
      <alignment horizontal="justify" vertical="center" wrapText="1"/>
    </xf>
    <xf numFmtId="0" fontId="3" fillId="0" borderId="9" xfId="0" applyFont="1" applyBorder="1" applyAlignment="1">
      <alignment horizontal="center" vertical="center" wrapText="1"/>
    </xf>
    <xf numFmtId="0" fontId="3" fillId="0" borderId="9" xfId="0" applyFont="1" applyBorder="1" applyAlignment="1">
      <alignment vertical="center"/>
    </xf>
    <xf numFmtId="0" fontId="3" fillId="0" borderId="10" xfId="0" applyFont="1" applyBorder="1" applyAlignment="1">
      <alignment vertical="center"/>
    </xf>
    <xf numFmtId="0" fontId="3" fillId="0" borderId="51" xfId="0" applyFont="1" applyBorder="1" applyAlignment="1">
      <alignment horizontal="center" vertical="center" wrapText="1"/>
    </xf>
    <xf numFmtId="0" fontId="3" fillId="0" borderId="52" xfId="0" applyFont="1" applyBorder="1" applyAlignment="1">
      <alignment vertical="center"/>
    </xf>
    <xf numFmtId="0" fontId="4" fillId="0" borderId="0" xfId="0" applyFont="1"/>
    <xf numFmtId="0" fontId="0" fillId="0" borderId="0" xfId="0" applyAlignment="1">
      <alignment horizontal="center" vertical="center"/>
    </xf>
    <xf numFmtId="0" fontId="2" fillId="0" borderId="0" xfId="0" applyFont="1" applyAlignment="1">
      <alignment vertical="center"/>
    </xf>
    <xf numFmtId="0" fontId="2" fillId="0" borderId="0" xfId="0" applyFont="1" applyAlignment="1">
      <alignment vertical="center" wrapText="1"/>
    </xf>
    <xf numFmtId="0" fontId="4" fillId="0" borderId="0" xfId="0" applyFont="1" applyAlignment="1">
      <alignment vertical="center" wrapText="1"/>
    </xf>
    <xf numFmtId="0" fontId="18" fillId="0" borderId="0" xfId="0" applyFont="1" applyAlignment="1">
      <alignment horizontal="right" vertical="center" wrapText="1"/>
    </xf>
    <xf numFmtId="0" fontId="33" fillId="0" borderId="53" xfId="0" applyFont="1" applyBorder="1" applyAlignment="1">
      <alignment vertical="center"/>
    </xf>
    <xf numFmtId="0" fontId="34" fillId="0" borderId="53" xfId="0" applyFont="1" applyBorder="1" applyAlignment="1">
      <alignment horizontal="right" vertical="center"/>
    </xf>
    <xf numFmtId="164" fontId="4" fillId="0" borderId="14" xfId="2" applyNumberFormat="1" applyFont="1" applyBorder="1" applyAlignment="1">
      <alignment horizontal="center" vertical="center" wrapText="1"/>
    </xf>
    <xf numFmtId="164" fontId="4" fillId="0" borderId="15" xfId="2" applyNumberFormat="1" applyFont="1" applyBorder="1" applyAlignment="1">
      <alignment horizontal="center" vertical="center" wrapText="1"/>
    </xf>
    <xf numFmtId="164" fontId="4" fillId="0" borderId="18" xfId="2" applyNumberFormat="1" applyFont="1" applyBorder="1" applyAlignment="1">
      <alignment horizontal="center" vertical="center" wrapText="1"/>
    </xf>
    <xf numFmtId="0" fontId="8" fillId="0" borderId="54" xfId="0" applyFont="1" applyBorder="1" applyAlignment="1">
      <alignment horizontal="center" vertical="center"/>
    </xf>
    <xf numFmtId="0" fontId="8" fillId="0" borderId="55" xfId="0" applyFont="1" applyBorder="1" applyAlignment="1">
      <alignment horizontal="left" vertical="center"/>
    </xf>
    <xf numFmtId="0" fontId="10" fillId="0" borderId="55" xfId="0" applyFont="1" applyBorder="1" applyAlignment="1">
      <alignment horizontal="center" vertical="center"/>
    </xf>
    <xf numFmtId="0" fontId="10" fillId="0" borderId="56" xfId="0" applyFont="1" applyBorder="1" applyAlignment="1">
      <alignment horizontal="center" vertical="center"/>
    </xf>
    <xf numFmtId="0" fontId="4" fillId="0" borderId="11" xfId="0" applyFont="1" applyBorder="1" applyAlignment="1">
      <alignment horizontal="center" vertical="center" wrapText="1"/>
    </xf>
    <xf numFmtId="0" fontId="4" fillId="0" borderId="6" xfId="0" applyFont="1" applyBorder="1" applyAlignment="1">
      <alignment horizontal="justify" vertical="center" wrapText="1"/>
    </xf>
    <xf numFmtId="0" fontId="4" fillId="0" borderId="6" xfId="0" applyFont="1" applyBorder="1" applyAlignment="1">
      <alignment horizontal="center" vertical="center" wrapText="1"/>
    </xf>
    <xf numFmtId="0" fontId="4" fillId="0" borderId="12" xfId="0" applyFont="1" applyBorder="1" applyAlignment="1">
      <alignment vertical="center"/>
    </xf>
    <xf numFmtId="0" fontId="4" fillId="0" borderId="11" xfId="0" applyFont="1" applyBorder="1" applyAlignment="1">
      <alignment horizontal="right" vertical="center" wrapText="1"/>
    </xf>
    <xf numFmtId="0" fontId="3" fillId="0" borderId="57" xfId="0" applyFont="1" applyBorder="1" applyAlignment="1">
      <alignment horizontal="right" vertical="center" wrapText="1"/>
    </xf>
    <xf numFmtId="0" fontId="3" fillId="0" borderId="58" xfId="0" applyFont="1" applyBorder="1" applyAlignment="1">
      <alignment horizontal="justify" vertical="center" wrapText="1"/>
    </xf>
    <xf numFmtId="0" fontId="3" fillId="0" borderId="58" xfId="0" applyFont="1" applyBorder="1" applyAlignment="1">
      <alignment horizontal="center" vertical="center" wrapText="1"/>
    </xf>
    <xf numFmtId="0" fontId="3" fillId="0" borderId="59" xfId="0" applyFont="1" applyBorder="1" applyAlignment="1">
      <alignment vertical="center"/>
    </xf>
    <xf numFmtId="0" fontId="3" fillId="0" borderId="51" xfId="0" applyFont="1" applyBorder="1" applyAlignment="1">
      <alignment horizontal="justify" vertical="center" wrapText="1"/>
    </xf>
    <xf numFmtId="0" fontId="3" fillId="0" borderId="0" xfId="0" applyFont="1" applyAlignment="1">
      <alignment horizontal="center" vertical="center"/>
    </xf>
    <xf numFmtId="0" fontId="3" fillId="0" borderId="0" xfId="0" applyFont="1" applyAlignment="1">
      <alignment vertical="center" wrapText="1"/>
    </xf>
    <xf numFmtId="0" fontId="5" fillId="0" borderId="0" xfId="0" applyFont="1" applyAlignment="1">
      <alignment horizontal="center" vertical="center"/>
    </xf>
    <xf numFmtId="0" fontId="4" fillId="0" borderId="0" xfId="0" applyFont="1" applyAlignment="1">
      <alignment horizontal="left" vertical="center" wrapText="1"/>
    </xf>
    <xf numFmtId="0" fontId="5" fillId="0" borderId="0" xfId="0" applyFont="1" applyAlignment="1">
      <alignment wrapText="1"/>
    </xf>
    <xf numFmtId="0" fontId="3" fillId="0" borderId="0" xfId="0" applyFont="1" applyAlignment="1">
      <alignment horizontal="left" vertical="center" wrapText="1"/>
    </xf>
    <xf numFmtId="0" fontId="2" fillId="0" borderId="0" xfId="0" quotePrefix="1" applyFont="1" applyAlignment="1">
      <alignment horizontal="left"/>
    </xf>
    <xf numFmtId="0" fontId="35" fillId="0" borderId="0" xfId="0" applyFont="1" applyAlignment="1">
      <alignment horizontal="right" vertical="center"/>
    </xf>
    <xf numFmtId="0" fontId="34" fillId="0" borderId="53" xfId="0" applyFont="1" applyBorder="1" applyAlignment="1">
      <alignment horizontal="center" vertical="center"/>
    </xf>
    <xf numFmtId="0" fontId="3" fillId="0" borderId="26" xfId="0" applyFont="1" applyBorder="1" applyAlignment="1">
      <alignment horizontal="center" vertical="center"/>
    </xf>
    <xf numFmtId="0" fontId="3" fillId="0" borderId="5" xfId="0" applyFont="1" applyBorder="1" applyAlignment="1">
      <alignment vertical="center"/>
    </xf>
    <xf numFmtId="164" fontId="3" fillId="0" borderId="5" xfId="2" applyNumberFormat="1" applyFont="1" applyBorder="1" applyAlignment="1">
      <alignment horizontal="center" vertical="center" wrapText="1"/>
    </xf>
    <xf numFmtId="164" fontId="3" fillId="0" borderId="7" xfId="2" applyNumberFormat="1" applyFont="1" applyBorder="1" applyAlignment="1">
      <alignment horizontal="center" vertical="center" wrapText="1"/>
    </xf>
    <xf numFmtId="0" fontId="3" fillId="0" borderId="32" xfId="0" applyFont="1" applyBorder="1" applyAlignment="1">
      <alignment horizontal="center" vertical="center"/>
    </xf>
    <xf numFmtId="0" fontId="3" fillId="0" borderId="34" xfId="0" applyFont="1" applyBorder="1" applyAlignment="1">
      <alignment vertical="center"/>
    </xf>
    <xf numFmtId="164" fontId="3" fillId="0" borderId="34" xfId="2" applyNumberFormat="1" applyFont="1" applyBorder="1" applyAlignment="1">
      <alignment horizontal="center" vertical="center" wrapText="1"/>
    </xf>
    <xf numFmtId="164" fontId="3" fillId="0" borderId="35" xfId="2" applyNumberFormat="1" applyFont="1" applyBorder="1" applyAlignment="1">
      <alignment horizontal="center" vertical="center" wrapText="1"/>
    </xf>
    <xf numFmtId="0" fontId="3" fillId="0" borderId="35" xfId="0" applyFont="1" applyBorder="1" applyAlignment="1">
      <alignment vertical="center"/>
    </xf>
    <xf numFmtId="0" fontId="22" fillId="0" borderId="0" xfId="0" applyFont="1" applyAlignment="1">
      <alignment vertical="center"/>
    </xf>
    <xf numFmtId="0" fontId="22" fillId="0" borderId="60" xfId="0" applyFont="1" applyBorder="1" applyAlignment="1">
      <alignment vertical="center"/>
    </xf>
    <xf numFmtId="0" fontId="3" fillId="0" borderId="36" xfId="0" applyFont="1" applyBorder="1" applyAlignment="1">
      <alignment horizontal="center" vertical="center" wrapText="1"/>
    </xf>
    <xf numFmtId="0" fontId="3" fillId="0" borderId="40" xfId="0" applyFont="1" applyBorder="1" applyAlignment="1">
      <alignment vertical="center"/>
    </xf>
    <xf numFmtId="0" fontId="3" fillId="0" borderId="63" xfId="0" applyFont="1" applyBorder="1" applyAlignment="1">
      <alignment horizontal="justify" vertical="center" wrapText="1"/>
    </xf>
    <xf numFmtId="0" fontId="3" fillId="0" borderId="63" xfId="0" applyFont="1" applyBorder="1" applyAlignment="1">
      <alignment horizontal="center" vertical="center" wrapText="1"/>
    </xf>
    <xf numFmtId="0" fontId="3" fillId="0" borderId="64" xfId="0" applyFont="1" applyBorder="1" applyAlignment="1">
      <alignment vertical="center"/>
    </xf>
    <xf numFmtId="0" fontId="6" fillId="0" borderId="0" xfId="0" applyFont="1" applyAlignment="1">
      <alignment vertical="center"/>
    </xf>
    <xf numFmtId="0" fontId="3"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vertical="center" wrapText="1"/>
    </xf>
    <xf numFmtId="0" fontId="10" fillId="0" borderId="0" xfId="0" applyFont="1" applyAlignment="1">
      <alignment vertical="center"/>
    </xf>
    <xf numFmtId="0" fontId="18" fillId="0" borderId="0" xfId="0" applyFont="1" applyAlignment="1">
      <alignment vertical="center" wrapText="1"/>
    </xf>
    <xf numFmtId="0" fontId="5" fillId="0" borderId="0" xfId="0" applyFont="1" applyAlignment="1">
      <alignment vertical="center"/>
    </xf>
    <xf numFmtId="0" fontId="5" fillId="0" borderId="0" xfId="0" applyFont="1" applyAlignment="1">
      <alignment horizontal="right" vertical="center"/>
    </xf>
    <xf numFmtId="0" fontId="18" fillId="0" borderId="0" xfId="0" applyFont="1" applyAlignment="1">
      <alignment horizontal="right" vertical="center"/>
    </xf>
    <xf numFmtId="164" fontId="37" fillId="0" borderId="1" xfId="2" applyNumberFormat="1" applyFont="1" applyBorder="1" applyAlignment="1">
      <alignment horizontal="center" vertical="center" wrapText="1"/>
    </xf>
    <xf numFmtId="164" fontId="37" fillId="0" borderId="2" xfId="2" applyNumberFormat="1" applyFont="1" applyBorder="1" applyAlignment="1">
      <alignment horizontal="center" vertical="center" wrapText="1"/>
    </xf>
    <xf numFmtId="164" fontId="30" fillId="0" borderId="2" xfId="2" applyNumberFormat="1" applyFont="1" applyBorder="1" applyAlignment="1">
      <alignment horizontal="center" vertical="center" wrapText="1"/>
    </xf>
    <xf numFmtId="164" fontId="30" fillId="0" borderId="3" xfId="2" applyNumberFormat="1" applyFont="1" applyBorder="1" applyAlignment="1">
      <alignment horizontal="center" vertical="center" wrapText="1"/>
    </xf>
    <xf numFmtId="0" fontId="13" fillId="0" borderId="0" xfId="0" applyFont="1" applyAlignment="1">
      <alignment horizontal="center" vertical="center"/>
    </xf>
    <xf numFmtId="0" fontId="13" fillId="0" borderId="0" xfId="0" applyFont="1" applyAlignment="1">
      <alignment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2" xfId="0" applyFont="1" applyBorder="1" applyAlignment="1">
      <alignment horizontal="center" vertical="center" wrapText="1"/>
    </xf>
    <xf numFmtId="0" fontId="18" fillId="0" borderId="3" xfId="0" applyFont="1" applyBorder="1" applyAlignment="1">
      <alignment horizontal="center" vertical="center"/>
    </xf>
    <xf numFmtId="0" fontId="18" fillId="0" borderId="32" xfId="0" applyFont="1" applyBorder="1" applyAlignment="1">
      <alignment horizontal="center" vertical="center"/>
    </xf>
    <xf numFmtId="0" fontId="18" fillId="0" borderId="34" xfId="0" applyFont="1" applyBorder="1" applyAlignment="1">
      <alignment vertical="center"/>
    </xf>
    <xf numFmtId="0" fontId="13" fillId="0" borderId="34" xfId="0" applyFont="1" applyBorder="1" applyAlignment="1">
      <alignment horizontal="center" vertical="center"/>
    </xf>
    <xf numFmtId="0" fontId="18" fillId="0" borderId="35" xfId="0" applyFont="1" applyBorder="1" applyAlignment="1">
      <alignment vertical="center"/>
    </xf>
    <xf numFmtId="0" fontId="18" fillId="0" borderId="0" xfId="0" applyFont="1" applyAlignment="1">
      <alignment vertical="center"/>
    </xf>
    <xf numFmtId="0" fontId="13" fillId="0" borderId="32" xfId="0" applyFont="1" applyBorder="1" applyAlignment="1">
      <alignment horizontal="center" vertical="center"/>
    </xf>
    <xf numFmtId="0" fontId="13" fillId="0" borderId="33" xfId="0" applyFont="1" applyBorder="1" applyAlignment="1">
      <alignment vertical="center" wrapText="1"/>
    </xf>
    <xf numFmtId="0" fontId="13" fillId="0" borderId="34" xfId="0" applyFont="1" applyBorder="1" applyAlignment="1">
      <alignment horizontal="center" vertical="center" wrapText="1"/>
    </xf>
    <xf numFmtId="0" fontId="13" fillId="0" borderId="34" xfId="0" applyFont="1" applyBorder="1" applyAlignment="1">
      <alignment vertical="center"/>
    </xf>
    <xf numFmtId="0" fontId="13" fillId="0" borderId="35" xfId="0" applyFont="1" applyBorder="1" applyAlignment="1">
      <alignment vertical="center"/>
    </xf>
    <xf numFmtId="0" fontId="13" fillId="0" borderId="34" xfId="0" applyFont="1" applyBorder="1" applyAlignment="1">
      <alignment vertical="center" wrapText="1"/>
    </xf>
    <xf numFmtId="0" fontId="18" fillId="0" borderId="34" xfId="0" applyFont="1" applyBorder="1" applyAlignment="1">
      <alignment vertical="center" wrapText="1"/>
    </xf>
    <xf numFmtId="3" fontId="13" fillId="0" borderId="34" xfId="0" applyNumberFormat="1" applyFont="1" applyBorder="1" applyAlignment="1">
      <alignment horizontal="center" vertical="center"/>
    </xf>
    <xf numFmtId="0" fontId="13" fillId="0" borderId="32" xfId="0" quotePrefix="1" applyFont="1" applyBorder="1" applyAlignment="1">
      <alignment horizontal="center" vertical="center"/>
    </xf>
    <xf numFmtId="0" fontId="13" fillId="0" borderId="42" xfId="0" quotePrefix="1" applyFont="1" applyBorder="1" applyAlignment="1">
      <alignment horizontal="center" vertical="center"/>
    </xf>
    <xf numFmtId="0" fontId="18" fillId="0" borderId="43" xfId="0" applyFont="1" applyBorder="1" applyAlignment="1">
      <alignment vertical="center"/>
    </xf>
    <xf numFmtId="0" fontId="13" fillId="0" borderId="43" xfId="0" applyFont="1" applyBorder="1" applyAlignment="1">
      <alignment vertical="center"/>
    </xf>
    <xf numFmtId="0" fontId="13" fillId="0" borderId="43" xfId="0" applyFont="1" applyBorder="1" applyAlignment="1">
      <alignment horizontal="center" vertical="center"/>
    </xf>
    <xf numFmtId="0" fontId="13" fillId="0" borderId="44" xfId="0" applyFont="1" applyBorder="1" applyAlignment="1">
      <alignment vertical="center"/>
    </xf>
    <xf numFmtId="0" fontId="40" fillId="0" borderId="0" xfId="0" applyFont="1" applyAlignment="1">
      <alignment vertical="center"/>
    </xf>
    <xf numFmtId="0" fontId="41" fillId="0" borderId="0" xfId="0" applyFont="1" applyAlignment="1">
      <alignment vertical="center"/>
    </xf>
    <xf numFmtId="0" fontId="18" fillId="0" borderId="38" xfId="0" quotePrefix="1" applyFont="1" applyBorder="1" applyAlignment="1">
      <alignment horizontal="center" vertical="center"/>
    </xf>
    <xf numFmtId="0" fontId="18" fillId="0" borderId="21" xfId="0" quotePrefix="1" applyFont="1" applyBorder="1" applyAlignment="1">
      <alignment horizontal="center" vertical="center"/>
    </xf>
    <xf numFmtId="0" fontId="18" fillId="0" borderId="21" xfId="0" quotePrefix="1" applyFont="1" applyBorder="1" applyAlignment="1">
      <alignment horizontal="center" vertical="center" wrapText="1"/>
    </xf>
    <xf numFmtId="0" fontId="18" fillId="0" borderId="48" xfId="0" quotePrefix="1" applyFont="1" applyBorder="1" applyAlignment="1">
      <alignment horizontal="center" vertical="center"/>
    </xf>
    <xf numFmtId="0" fontId="18" fillId="0" borderId="26" xfId="0" applyFont="1" applyBorder="1" applyAlignment="1">
      <alignment vertical="center"/>
    </xf>
    <xf numFmtId="0" fontId="18" fillId="0" borderId="5" xfId="0" applyFont="1" applyBorder="1" applyAlignment="1">
      <alignment vertical="center"/>
    </xf>
    <xf numFmtId="0" fontId="13" fillId="0" borderId="5" xfId="0" applyFont="1" applyBorder="1" applyAlignment="1">
      <alignment horizontal="center" vertical="center"/>
    </xf>
    <xf numFmtId="0" fontId="18" fillId="0" borderId="7" xfId="0" applyFont="1" applyBorder="1" applyAlignment="1">
      <alignment vertical="center"/>
    </xf>
    <xf numFmtId="0" fontId="13" fillId="0" borderId="48" xfId="0" applyFont="1" applyBorder="1" applyAlignment="1">
      <alignment horizontal="center" vertical="center" wrapText="1"/>
    </xf>
    <xf numFmtId="0" fontId="13" fillId="3" borderId="34" xfId="0" applyFont="1" applyFill="1" applyBorder="1" applyAlignment="1">
      <alignment vertical="center"/>
    </xf>
    <xf numFmtId="164" fontId="13" fillId="0" borderId="34" xfId="2" applyNumberFormat="1" applyFont="1" applyFill="1" applyBorder="1" applyAlignment="1">
      <alignment horizontal="center" vertical="center" wrapText="1"/>
    </xf>
    <xf numFmtId="164" fontId="13" fillId="0" borderId="34" xfId="2" applyNumberFormat="1" applyFont="1" applyFill="1" applyBorder="1" applyAlignment="1">
      <alignment horizontal="center" vertical="center"/>
    </xf>
    <xf numFmtId="164" fontId="13" fillId="0" borderId="0" xfId="2" applyNumberFormat="1" applyFont="1" applyFill="1" applyBorder="1" applyAlignment="1">
      <alignment vertical="center"/>
    </xf>
    <xf numFmtId="0" fontId="18" fillId="0" borderId="34" xfId="0" applyFont="1" applyBorder="1" applyAlignment="1">
      <alignment horizontal="center" vertical="center"/>
    </xf>
    <xf numFmtId="0" fontId="18" fillId="0" borderId="37" xfId="0" applyFont="1" applyBorder="1" applyAlignment="1">
      <alignment vertical="center"/>
    </xf>
    <xf numFmtId="0" fontId="13" fillId="0" borderId="37" xfId="0" applyFont="1" applyBorder="1" applyAlignment="1">
      <alignment horizontal="center" vertical="center"/>
    </xf>
    <xf numFmtId="0" fontId="13" fillId="0" borderId="37" xfId="0" applyFont="1" applyBorder="1" applyAlignment="1">
      <alignment vertical="center"/>
    </xf>
    <xf numFmtId="0" fontId="13" fillId="0" borderId="40" xfId="0" applyFont="1" applyBorder="1" applyAlignment="1">
      <alignment vertical="center"/>
    </xf>
    <xf numFmtId="164" fontId="4" fillId="0" borderId="21" xfId="2" applyNumberFormat="1" applyFont="1" applyFill="1" applyBorder="1" applyAlignment="1">
      <alignment horizontal="center" vertical="center" wrapText="1"/>
    </xf>
    <xf numFmtId="49" fontId="21" fillId="0" borderId="24" xfId="2" applyNumberFormat="1" applyFont="1" applyFill="1" applyBorder="1" applyAlignment="1">
      <alignment horizontal="center" vertical="center" wrapText="1"/>
    </xf>
    <xf numFmtId="3" fontId="36" fillId="0" borderId="0" xfId="6" applyNumberFormat="1" applyFont="1" applyAlignment="1">
      <alignment wrapText="1"/>
    </xf>
    <xf numFmtId="0" fontId="41" fillId="0" borderId="0" xfId="6" applyFont="1" applyAlignment="1">
      <alignment horizontal="right"/>
    </xf>
    <xf numFmtId="0" fontId="36" fillId="0" borderId="0" xfId="6" applyFont="1" applyAlignment="1">
      <alignment wrapText="1"/>
    </xf>
    <xf numFmtId="0" fontId="43" fillId="0" borderId="0" xfId="6" applyFont="1" applyAlignment="1">
      <alignment horizontal="right" wrapText="1"/>
    </xf>
    <xf numFmtId="0" fontId="43" fillId="0" borderId="0" xfId="6" applyFont="1" applyAlignment="1">
      <alignment horizontal="right"/>
    </xf>
    <xf numFmtId="0" fontId="35" fillId="0" borderId="24" xfId="6" applyFont="1" applyBorder="1" applyAlignment="1">
      <alignment horizontal="center" vertical="center" wrapText="1"/>
    </xf>
    <xf numFmtId="3" fontId="35" fillId="0" borderId="24" xfId="6" applyNumberFormat="1" applyFont="1" applyBorder="1" applyAlignment="1">
      <alignment horizontal="center" vertical="center" wrapText="1"/>
    </xf>
    <xf numFmtId="0" fontId="35" fillId="0" borderId="0" xfId="6" applyFont="1" applyAlignment="1">
      <alignment wrapText="1"/>
    </xf>
    <xf numFmtId="0" fontId="36" fillId="0" borderId="24" xfId="0" applyFont="1" applyBorder="1" applyAlignment="1">
      <alignment horizontal="center" wrapText="1"/>
    </xf>
    <xf numFmtId="0" fontId="36" fillId="3" borderId="24" xfId="0" applyFont="1" applyFill="1" applyBorder="1" applyAlignment="1">
      <alignment wrapText="1"/>
    </xf>
    <xf numFmtId="3" fontId="36" fillId="3" borderId="24" xfId="0" applyNumberFormat="1" applyFont="1" applyFill="1" applyBorder="1" applyAlignment="1">
      <alignment wrapText="1"/>
    </xf>
    <xf numFmtId="0" fontId="36" fillId="0" borderId="24" xfId="0" applyFont="1" applyBorder="1" applyAlignment="1">
      <alignment wrapText="1"/>
    </xf>
    <xf numFmtId="3" fontId="36" fillId="0" borderId="24" xfId="6" applyNumberFormat="1" applyFont="1" applyBorder="1" applyAlignment="1">
      <alignment wrapText="1"/>
    </xf>
    <xf numFmtId="3" fontId="36" fillId="0" borderId="24" xfId="0" applyNumberFormat="1" applyFont="1" applyBorder="1" applyAlignment="1">
      <alignment wrapText="1"/>
    </xf>
    <xf numFmtId="0" fontId="35" fillId="0" borderId="24" xfId="0" applyFont="1" applyBorder="1" applyAlignment="1">
      <alignment horizontal="center" wrapText="1"/>
    </xf>
    <xf numFmtId="3" fontId="35" fillId="0" borderId="24" xfId="0" applyNumberFormat="1" applyFont="1" applyBorder="1" applyAlignment="1">
      <alignment wrapText="1"/>
    </xf>
    <xf numFmtId="0" fontId="35" fillId="0" borderId="24" xfId="0" applyFont="1" applyBorder="1" applyAlignment="1">
      <alignment wrapText="1"/>
    </xf>
    <xf numFmtId="0" fontId="36" fillId="0" borderId="0" xfId="6" applyFont="1" applyAlignment="1">
      <alignment horizontal="center" wrapText="1"/>
    </xf>
    <xf numFmtId="0" fontId="44" fillId="0" borderId="0" xfId="0" applyFont="1" applyAlignment="1">
      <alignment vertical="center"/>
    </xf>
    <xf numFmtId="0" fontId="44" fillId="0" borderId="0" xfId="0" applyFont="1" applyAlignment="1">
      <alignment vertical="center" wrapText="1"/>
    </xf>
    <xf numFmtId="0" fontId="45" fillId="0" borderId="0" xfId="0" applyFont="1" applyAlignment="1">
      <alignment vertical="center"/>
    </xf>
    <xf numFmtId="0" fontId="35" fillId="0" borderId="24" xfId="0" applyFont="1" applyBorder="1" applyAlignment="1">
      <alignment horizontal="center" vertical="center" wrapText="1"/>
    </xf>
    <xf numFmtId="0" fontId="35" fillId="0" borderId="1" xfId="0" applyFont="1" applyBorder="1" applyAlignment="1">
      <alignment horizontal="center" vertical="center"/>
    </xf>
    <xf numFmtId="0" fontId="35" fillId="0" borderId="2" xfId="0" applyFont="1" applyBorder="1" applyAlignment="1">
      <alignment horizontal="center" vertical="center"/>
    </xf>
    <xf numFmtId="0" fontId="35" fillId="0" borderId="2" xfId="0" applyFont="1" applyBorder="1" applyAlignment="1">
      <alignment horizontal="center" vertical="center" wrapText="1"/>
    </xf>
    <xf numFmtId="0" fontId="35" fillId="0" borderId="3" xfId="0" applyFont="1" applyBorder="1" applyAlignment="1">
      <alignment horizontal="center" vertical="center"/>
    </xf>
    <xf numFmtId="0" fontId="35" fillId="0" borderId="0" xfId="0" applyFont="1" applyAlignment="1">
      <alignment horizontal="center" vertical="center"/>
    </xf>
    <xf numFmtId="0" fontId="35" fillId="0" borderId="26" xfId="0" applyFont="1" applyBorder="1" applyAlignment="1">
      <alignment vertical="center"/>
    </xf>
    <xf numFmtId="0" fontId="35" fillId="0" borderId="5" xfId="0" applyFont="1" applyBorder="1" applyAlignment="1">
      <alignment vertical="center"/>
    </xf>
    <xf numFmtId="0" fontId="35" fillId="0" borderId="7" xfId="0" applyFont="1" applyBorder="1" applyAlignment="1">
      <alignment vertical="center"/>
    </xf>
    <xf numFmtId="0" fontId="35" fillId="0" borderId="0" xfId="0" applyFont="1" applyAlignment="1">
      <alignment vertical="center"/>
    </xf>
    <xf numFmtId="0" fontId="35" fillId="0" borderId="24" xfId="0" applyFont="1" applyBorder="1" applyAlignment="1">
      <alignment vertical="center" wrapText="1"/>
    </xf>
    <xf numFmtId="0" fontId="35" fillId="0" borderId="28" xfId="0" applyFont="1" applyBorder="1" applyAlignment="1">
      <alignment horizontal="center" vertical="center"/>
    </xf>
    <xf numFmtId="0" fontId="35" fillId="0" borderId="21" xfId="0" applyFont="1" applyBorder="1" applyAlignment="1">
      <alignment vertical="center"/>
    </xf>
    <xf numFmtId="0" fontId="35" fillId="0" borderId="30" xfId="0" applyFont="1" applyBorder="1" applyAlignment="1">
      <alignment vertical="center"/>
    </xf>
    <xf numFmtId="0" fontId="35" fillId="0" borderId="31" xfId="0" applyFont="1" applyBorder="1" applyAlignment="1">
      <alignment vertical="center"/>
    </xf>
    <xf numFmtId="0" fontId="36" fillId="0" borderId="34" xfId="0" applyFont="1" applyBorder="1" applyAlignment="1">
      <alignment horizontal="left" vertical="center" wrapText="1"/>
    </xf>
    <xf numFmtId="0" fontId="36" fillId="0" borderId="35" xfId="0" applyFont="1" applyBorder="1" applyAlignment="1">
      <alignment vertical="center"/>
    </xf>
    <xf numFmtId="0" fontId="13" fillId="0" borderId="24" xfId="0" applyFont="1" applyBorder="1" applyAlignment="1">
      <alignment vertical="center" wrapText="1"/>
    </xf>
    <xf numFmtId="0" fontId="36" fillId="0" borderId="30" xfId="0" applyFont="1" applyBorder="1" applyAlignment="1">
      <alignment vertical="center"/>
    </xf>
    <xf numFmtId="0" fontId="36" fillId="0" borderId="34" xfId="0" applyFont="1" applyBorder="1" applyAlignment="1">
      <alignment vertical="center"/>
    </xf>
    <xf numFmtId="43" fontId="13" fillId="0" borderId="34" xfId="0" applyNumberFormat="1" applyFont="1" applyBorder="1" applyAlignment="1">
      <alignment vertical="center"/>
    </xf>
    <xf numFmtId="0" fontId="36" fillId="0" borderId="24" xfId="0" applyFont="1" applyBorder="1" applyAlignment="1">
      <alignment vertical="center" wrapText="1"/>
    </xf>
    <xf numFmtId="0" fontId="36" fillId="8" borderId="34" xfId="0" applyFont="1" applyFill="1" applyBorder="1" applyAlignment="1">
      <alignment vertical="center"/>
    </xf>
    <xf numFmtId="0" fontId="36" fillId="0" borderId="35" xfId="0" applyFont="1" applyBorder="1" applyAlignment="1">
      <alignment vertical="center" wrapText="1"/>
    </xf>
    <xf numFmtId="0" fontId="36" fillId="0" borderId="40" xfId="0" applyFont="1" applyBorder="1" applyAlignment="1">
      <alignment vertical="center"/>
    </xf>
    <xf numFmtId="0" fontId="35" fillId="0" borderId="34" xfId="0" applyFont="1" applyBorder="1" applyAlignment="1">
      <alignment vertical="center"/>
    </xf>
    <xf numFmtId="0" fontId="36" fillId="0" borderId="34" xfId="0" applyFont="1" applyBorder="1" applyAlignment="1">
      <alignment vertical="center" wrapText="1"/>
    </xf>
    <xf numFmtId="0" fontId="40" fillId="0" borderId="32" xfId="0" applyFont="1" applyBorder="1" applyAlignment="1">
      <alignment horizontal="center" vertical="center"/>
    </xf>
    <xf numFmtId="0" fontId="36" fillId="0" borderId="37" xfId="0" applyFont="1" applyBorder="1" applyAlignment="1">
      <alignment vertical="center"/>
    </xf>
    <xf numFmtId="0" fontId="36" fillId="0" borderId="37" xfId="0" applyFont="1" applyBorder="1" applyAlignment="1">
      <alignment vertical="center" wrapText="1"/>
    </xf>
    <xf numFmtId="0" fontId="41" fillId="0" borderId="37" xfId="0" applyFont="1" applyBorder="1" applyAlignment="1">
      <alignment vertical="center"/>
    </xf>
    <xf numFmtId="0" fontId="36" fillId="0" borderId="40" xfId="0" applyFont="1" applyBorder="1" applyAlignment="1">
      <alignment vertical="center" wrapText="1"/>
    </xf>
    <xf numFmtId="0" fontId="41" fillId="0" borderId="24" xfId="0" applyFont="1" applyBorder="1" applyAlignment="1">
      <alignment vertical="center" wrapText="1"/>
    </xf>
    <xf numFmtId="0" fontId="40" fillId="0" borderId="32" xfId="0" quotePrefix="1" applyFont="1" applyBorder="1" applyAlignment="1">
      <alignment horizontal="center" vertical="center"/>
    </xf>
    <xf numFmtId="0" fontId="35" fillId="0" borderId="37" xfId="0" applyFont="1" applyBorder="1" applyAlignment="1">
      <alignment vertical="center" wrapText="1"/>
    </xf>
    <xf numFmtId="0" fontId="13" fillId="0" borderId="36" xfId="0" quotePrefix="1" applyFont="1" applyBorder="1" applyAlignment="1">
      <alignment horizontal="center" vertical="center"/>
    </xf>
    <xf numFmtId="0" fontId="18" fillId="0" borderId="36" xfId="0" quotePrefix="1" applyFont="1" applyBorder="1" applyAlignment="1">
      <alignment horizontal="center" vertical="center"/>
    </xf>
    <xf numFmtId="0" fontId="13" fillId="0" borderId="42" xfId="0" applyFont="1" applyBorder="1" applyAlignment="1">
      <alignment horizontal="center" vertical="center"/>
    </xf>
    <xf numFmtId="0" fontId="44" fillId="0" borderId="43" xfId="0" applyFont="1" applyBorder="1" applyAlignment="1">
      <alignment vertical="center"/>
    </xf>
    <xf numFmtId="0" fontId="36" fillId="0" borderId="44" xfId="0" applyFont="1" applyBorder="1" applyAlignment="1">
      <alignment vertical="center"/>
    </xf>
    <xf numFmtId="0" fontId="40" fillId="0" borderId="0" xfId="0" applyFont="1" applyAlignment="1">
      <alignment horizontal="right" vertical="center" wrapText="1"/>
    </xf>
    <xf numFmtId="0" fontId="46" fillId="0" borderId="0" xfId="0" applyFont="1" applyAlignment="1">
      <alignment horizontal="right" vertical="center" wrapText="1"/>
    </xf>
    <xf numFmtId="0" fontId="45" fillId="0" borderId="0" xfId="0" applyFont="1" applyAlignment="1">
      <alignment vertical="center" wrapText="1"/>
    </xf>
    <xf numFmtId="0" fontId="40" fillId="0" borderId="0" xfId="0" applyFont="1" applyAlignment="1">
      <alignment horizontal="left" vertical="top" wrapText="1"/>
    </xf>
    <xf numFmtId="0" fontId="46" fillId="0" borderId="0" xfId="0" applyFont="1" applyAlignment="1">
      <alignment horizontal="right"/>
    </xf>
    <xf numFmtId="0" fontId="46" fillId="0" borderId="0" xfId="0" applyFont="1"/>
    <xf numFmtId="0" fontId="8" fillId="0" borderId="0" xfId="0" applyFont="1"/>
    <xf numFmtId="0" fontId="8" fillId="0" borderId="0" xfId="0" applyFont="1" applyAlignment="1">
      <alignment horizontal="center"/>
    </xf>
    <xf numFmtId="0" fontId="18" fillId="9" borderId="24" xfId="0" applyFont="1" applyFill="1" applyBorder="1" applyAlignment="1">
      <alignment horizontal="center" vertical="center"/>
    </xf>
    <xf numFmtId="0" fontId="18" fillId="9" borderId="24" xfId="0" applyFont="1" applyFill="1" applyBorder="1" applyAlignment="1">
      <alignment horizontal="center" vertical="center" wrapText="1"/>
    </xf>
    <xf numFmtId="0" fontId="13" fillId="8" borderId="24" xfId="0" applyFont="1" applyFill="1" applyBorder="1" applyAlignment="1">
      <alignment horizontal="center" vertical="center"/>
    </xf>
    <xf numFmtId="0" fontId="13" fillId="8" borderId="24" xfId="0" applyFont="1" applyFill="1" applyBorder="1" applyAlignment="1">
      <alignment vertical="center"/>
    </xf>
    <xf numFmtId="0" fontId="13" fillId="0" borderId="24" xfId="0" applyFont="1" applyBorder="1" applyAlignment="1">
      <alignment vertical="center"/>
    </xf>
    <xf numFmtId="0" fontId="13" fillId="10" borderId="24" xfId="0" applyFont="1" applyFill="1" applyBorder="1" applyAlignment="1">
      <alignment horizontal="center" vertical="center"/>
    </xf>
    <xf numFmtId="0" fontId="13" fillId="10" borderId="24" xfId="0" applyFont="1" applyFill="1" applyBorder="1" applyAlignment="1">
      <alignment vertical="center"/>
    </xf>
    <xf numFmtId="0" fontId="13" fillId="0" borderId="24" xfId="0" applyFont="1" applyBorder="1" applyAlignment="1">
      <alignment horizontal="center" vertical="center"/>
    </xf>
    <xf numFmtId="0" fontId="13" fillId="11" borderId="24" xfId="0" applyFont="1" applyFill="1" applyBorder="1" applyAlignment="1">
      <alignment horizontal="center" vertical="center"/>
    </xf>
    <xf numFmtId="0" fontId="13" fillId="11" borderId="24" xfId="0" applyFont="1" applyFill="1" applyBorder="1" applyAlignment="1">
      <alignment vertical="center"/>
    </xf>
    <xf numFmtId="0" fontId="13" fillId="14" borderId="24" xfId="0" applyFont="1" applyFill="1" applyBorder="1" applyAlignment="1">
      <alignment horizontal="center" vertical="center"/>
    </xf>
    <xf numFmtId="0" fontId="13" fillId="14" borderId="24" xfId="0" applyFont="1" applyFill="1" applyBorder="1" applyAlignment="1">
      <alignment vertical="center"/>
    </xf>
    <xf numFmtId="0" fontId="36" fillId="0" borderId="28" xfId="0" applyFont="1" applyBorder="1" applyAlignment="1">
      <alignment horizontal="center" vertical="center"/>
    </xf>
    <xf numFmtId="0" fontId="36" fillId="0" borderId="31" xfId="0" applyFont="1" applyBorder="1" applyAlignment="1">
      <alignment vertical="center"/>
    </xf>
    <xf numFmtId="0" fontId="36" fillId="0" borderId="0" xfId="0" applyFont="1" applyAlignment="1">
      <alignment vertical="center"/>
    </xf>
    <xf numFmtId="0" fontId="36" fillId="0" borderId="32" xfId="0" applyFont="1" applyBorder="1" applyAlignment="1">
      <alignment horizontal="center" vertical="center"/>
    </xf>
    <xf numFmtId="0" fontId="36" fillId="0" borderId="32" xfId="0" quotePrefix="1" applyFont="1" applyBorder="1" applyAlignment="1">
      <alignment horizontal="center" vertical="center"/>
    </xf>
    <xf numFmtId="0" fontId="46" fillId="0" borderId="32" xfId="0" quotePrefix="1" applyFont="1" applyBorder="1" applyAlignment="1">
      <alignment horizontal="center" vertical="center"/>
    </xf>
    <xf numFmtId="0" fontId="36" fillId="0" borderId="46" xfId="0" applyFont="1" applyBorder="1" applyAlignment="1">
      <alignment vertical="center"/>
    </xf>
    <xf numFmtId="0" fontId="36" fillId="0" borderId="47" xfId="0" applyFont="1" applyBorder="1" applyAlignment="1">
      <alignment vertical="center"/>
    </xf>
    <xf numFmtId="0" fontId="36" fillId="0" borderId="36" xfId="0" quotePrefix="1" applyFont="1" applyBorder="1" applyAlignment="1">
      <alignment horizontal="center" vertical="center"/>
    </xf>
    <xf numFmtId="0" fontId="36" fillId="0" borderId="42" xfId="0" quotePrefix="1" applyFont="1" applyBorder="1" applyAlignment="1">
      <alignment horizontal="center" vertical="center"/>
    </xf>
    <xf numFmtId="0" fontId="35" fillId="0" borderId="43" xfId="0" applyFont="1" applyBorder="1" applyAlignment="1">
      <alignment vertical="center" wrapText="1"/>
    </xf>
    <xf numFmtId="0" fontId="36" fillId="0" borderId="43" xfId="0" applyFont="1" applyBorder="1" applyAlignment="1">
      <alignment vertical="center"/>
    </xf>
    <xf numFmtId="0" fontId="36" fillId="12" borderId="24" xfId="0" applyFont="1" applyFill="1" applyBorder="1" applyAlignment="1">
      <alignment horizontal="center" vertical="center"/>
    </xf>
    <xf numFmtId="0" fontId="36" fillId="12" borderId="24" xfId="0" applyFont="1" applyFill="1" applyBorder="1" applyAlignment="1">
      <alignment vertical="center"/>
    </xf>
    <xf numFmtId="0" fontId="36" fillId="13" borderId="24" xfId="0" applyFont="1" applyFill="1" applyBorder="1" applyAlignment="1">
      <alignment horizontal="center" vertical="center"/>
    </xf>
    <xf numFmtId="0" fontId="36" fillId="13" borderId="24" xfId="0" applyFont="1" applyFill="1" applyBorder="1" applyAlignment="1">
      <alignment vertical="center"/>
    </xf>
    <xf numFmtId="0" fontId="4" fillId="0" borderId="0" xfId="0" applyFont="1" applyAlignment="1">
      <alignment horizontal="center" vertical="center"/>
    </xf>
    <xf numFmtId="0" fontId="36" fillId="0" borderId="0" xfId="0" applyFont="1" applyAlignment="1">
      <alignment horizontal="left" vertical="center"/>
    </xf>
    <xf numFmtId="0" fontId="35" fillId="0" borderId="0" xfId="0" applyFont="1" applyAlignment="1">
      <alignment horizontal="left" vertical="center"/>
    </xf>
    <xf numFmtId="0" fontId="36" fillId="0" borderId="0" xfId="0" applyFont="1" applyAlignment="1">
      <alignment vertical="center" wrapText="1"/>
    </xf>
    <xf numFmtId="0" fontId="13" fillId="0" borderId="0" xfId="0" applyFont="1" applyAlignment="1">
      <alignment vertical="center" wrapText="1"/>
    </xf>
    <xf numFmtId="0" fontId="34" fillId="0" borderId="0" xfId="0" applyFont="1" applyAlignment="1">
      <alignment vertical="center"/>
    </xf>
    <xf numFmtId="0" fontId="37" fillId="0" borderId="65" xfId="0" applyFont="1" applyBorder="1" applyAlignment="1">
      <alignment horizontal="center" vertical="center" wrapText="1"/>
    </xf>
    <xf numFmtId="0" fontId="37" fillId="0" borderId="66" xfId="0" applyFont="1" applyBorder="1" applyAlignment="1">
      <alignment horizontal="justify" vertical="center" wrapText="1"/>
    </xf>
    <xf numFmtId="0" fontId="30" fillId="0" borderId="67" xfId="0" applyFont="1" applyBorder="1" applyAlignment="1">
      <alignment horizontal="justify" vertical="center" wrapText="1"/>
    </xf>
    <xf numFmtId="0" fontId="30" fillId="0" borderId="67" xfId="0" applyFont="1" applyBorder="1" applyAlignment="1">
      <alignment horizontal="center" vertical="center" wrapText="1"/>
    </xf>
    <xf numFmtId="0" fontId="30" fillId="0" borderId="68" xfId="0" applyFont="1" applyBorder="1" applyAlignment="1">
      <alignment vertical="center"/>
    </xf>
    <xf numFmtId="0" fontId="29" fillId="0" borderId="69" xfId="0" applyFont="1" applyBorder="1" applyAlignment="1">
      <alignment horizontal="center" vertical="center" wrapText="1"/>
    </xf>
    <xf numFmtId="0" fontId="29" fillId="0" borderId="66" xfId="0" applyFont="1" applyBorder="1" applyAlignment="1">
      <alignment horizontal="justify" vertical="center" wrapText="1"/>
    </xf>
    <xf numFmtId="0" fontId="2" fillId="0" borderId="66" xfId="0" applyFont="1" applyBorder="1" applyAlignment="1">
      <alignment horizontal="justify" vertical="center" wrapText="1"/>
    </xf>
    <xf numFmtId="0" fontId="30" fillId="0" borderId="66" xfId="0" applyFont="1" applyBorder="1" applyAlignment="1">
      <alignment horizontal="center" vertical="center" wrapText="1"/>
    </xf>
    <xf numFmtId="0" fontId="30" fillId="0" borderId="70" xfId="0" applyFont="1" applyBorder="1" applyAlignment="1">
      <alignment vertical="center"/>
    </xf>
    <xf numFmtId="0" fontId="38" fillId="0" borderId="66" xfId="0" applyFont="1" applyBorder="1" applyAlignment="1">
      <alignment horizontal="justify" vertical="center" wrapText="1"/>
    </xf>
    <xf numFmtId="0" fontId="2" fillId="0" borderId="66" xfId="0" applyFont="1" applyBorder="1" applyAlignment="1">
      <alignment horizontal="center" vertical="center" wrapText="1"/>
    </xf>
    <xf numFmtId="0" fontId="2" fillId="0" borderId="70" xfId="0" applyFont="1" applyBorder="1" applyAlignment="1">
      <alignment vertical="center"/>
    </xf>
    <xf numFmtId="0" fontId="37" fillId="0" borderId="69" xfId="0" applyFont="1" applyBorder="1" applyAlignment="1">
      <alignment horizontal="center" vertical="center" wrapText="1"/>
    </xf>
    <xf numFmtId="0" fontId="30" fillId="0" borderId="66" xfId="0" applyFont="1" applyBorder="1" applyAlignment="1">
      <alignment horizontal="justify" vertical="center" wrapText="1"/>
    </xf>
    <xf numFmtId="0" fontId="29" fillId="0" borderId="66" xfId="0" applyFont="1" applyBorder="1" applyAlignment="1">
      <alignment horizontal="left" vertical="center" wrapText="1"/>
    </xf>
    <xf numFmtId="0" fontId="2" fillId="0" borderId="66" xfId="0" applyFont="1" applyBorder="1" applyAlignment="1">
      <alignment horizontal="left" vertical="center" wrapText="1"/>
    </xf>
    <xf numFmtId="0" fontId="15" fillId="0" borderId="70" xfId="0" applyFont="1" applyBorder="1" applyAlignment="1">
      <alignment vertical="center"/>
    </xf>
    <xf numFmtId="0" fontId="39" fillId="0" borderId="66" xfId="0" applyFont="1" applyBorder="1" applyAlignment="1">
      <alignment horizontal="justify" vertical="center" wrapText="1"/>
    </xf>
    <xf numFmtId="0" fontId="15" fillId="0" borderId="66" xfId="0" applyFont="1" applyBorder="1" applyAlignment="1">
      <alignment horizontal="center" vertical="center" wrapText="1"/>
    </xf>
    <xf numFmtId="0" fontId="16" fillId="0" borderId="0" xfId="0" applyFont="1" applyAlignment="1">
      <alignment vertical="center"/>
    </xf>
    <xf numFmtId="0" fontId="29" fillId="0" borderId="66" xfId="0" quotePrefix="1" applyFont="1" applyBorder="1" applyAlignment="1">
      <alignment horizontal="justify" vertical="center" wrapText="1"/>
    </xf>
    <xf numFmtId="0" fontId="37" fillId="0" borderId="71" xfId="0" applyFont="1" applyBorder="1" applyAlignment="1">
      <alignment horizontal="center" vertical="center" wrapText="1"/>
    </xf>
    <xf numFmtId="0" fontId="37" fillId="0" borderId="72" xfId="0" applyFont="1" applyBorder="1" applyAlignment="1">
      <alignment horizontal="justify" vertical="center" wrapText="1"/>
    </xf>
    <xf numFmtId="0" fontId="30" fillId="0" borderId="72" xfId="0" applyFont="1" applyBorder="1" applyAlignment="1">
      <alignment horizontal="justify" vertical="center" wrapText="1"/>
    </xf>
    <xf numFmtId="0" fontId="2" fillId="0" borderId="72" xfId="0" applyFont="1" applyBorder="1" applyAlignment="1">
      <alignment horizontal="center" vertical="center" wrapText="1"/>
    </xf>
    <xf numFmtId="0" fontId="2" fillId="0" borderId="73" xfId="0" applyFont="1" applyBorder="1" applyAlignment="1">
      <alignment vertical="center"/>
    </xf>
    <xf numFmtId="0" fontId="29" fillId="0" borderId="0" xfId="0" applyFont="1" applyAlignment="1">
      <alignment horizontal="center" vertical="center"/>
    </xf>
    <xf numFmtId="0" fontId="29" fillId="0" borderId="0" xfId="0" applyFont="1" applyAlignment="1">
      <alignment vertical="center" wrapText="1"/>
    </xf>
    <xf numFmtId="0" fontId="29" fillId="0" borderId="0" xfId="0" applyFont="1" applyAlignment="1">
      <alignment vertical="center"/>
    </xf>
    <xf numFmtId="0" fontId="37" fillId="0" borderId="0" xfId="0" applyFont="1" applyAlignment="1">
      <alignment vertical="center" wrapText="1"/>
    </xf>
    <xf numFmtId="166" fontId="10" fillId="0" borderId="0" xfId="0" applyNumberFormat="1" applyFont="1" applyAlignment="1">
      <alignment vertical="center" wrapText="1"/>
    </xf>
    <xf numFmtId="166" fontId="3" fillId="0" borderId="0" xfId="0" applyNumberFormat="1" applyFont="1" applyAlignment="1">
      <alignment vertical="center" wrapText="1"/>
    </xf>
    <xf numFmtId="0" fontId="18" fillId="15" borderId="32" xfId="0" applyFont="1" applyFill="1" applyBorder="1" applyAlignment="1">
      <alignment horizontal="center" vertical="center"/>
    </xf>
    <xf numFmtId="0" fontId="19" fillId="15" borderId="34" xfId="0" applyFont="1" applyFill="1" applyBorder="1" applyAlignment="1">
      <alignment vertical="center"/>
    </xf>
    <xf numFmtId="0" fontId="18" fillId="15" borderId="34" xfId="0" applyFont="1" applyFill="1" applyBorder="1" applyAlignment="1">
      <alignment vertical="center"/>
    </xf>
    <xf numFmtId="0" fontId="13" fillId="15" borderId="34" xfId="0" applyFont="1" applyFill="1" applyBorder="1" applyAlignment="1">
      <alignment horizontal="center" vertical="center"/>
    </xf>
    <xf numFmtId="0" fontId="13" fillId="15" borderId="35" xfId="0" applyFont="1" applyFill="1" applyBorder="1" applyAlignment="1">
      <alignment vertical="center"/>
    </xf>
    <xf numFmtId="0" fontId="18" fillId="0" borderId="28" xfId="0" applyFont="1" applyBorder="1" applyAlignment="1">
      <alignment vertical="center"/>
    </xf>
    <xf numFmtId="0" fontId="18" fillId="0" borderId="30" xfId="0" applyFont="1" applyBorder="1" applyAlignment="1">
      <alignment vertical="center"/>
    </xf>
    <xf numFmtId="0" fontId="13" fillId="0" borderId="30" xfId="0" applyFont="1" applyBorder="1" applyAlignment="1">
      <alignment horizontal="center" vertical="center"/>
    </xf>
    <xf numFmtId="0" fontId="18" fillId="0" borderId="31" xfId="0" applyFont="1" applyBorder="1" applyAlignment="1">
      <alignment vertical="center"/>
    </xf>
    <xf numFmtId="0" fontId="18" fillId="0" borderId="0" xfId="0" applyFont="1" applyAlignment="1">
      <alignment horizontal="center" vertical="center" wrapText="1"/>
    </xf>
    <xf numFmtId="0" fontId="13" fillId="0" borderId="48"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4" xfId="0" applyFont="1" applyBorder="1" applyAlignment="1">
      <alignment horizontal="left" vertical="center" wrapText="1"/>
    </xf>
    <xf numFmtId="43" fontId="3" fillId="0" borderId="24" xfId="1" applyFont="1" applyBorder="1" applyAlignment="1">
      <alignment horizontal="center" vertical="center" wrapText="1"/>
    </xf>
    <xf numFmtId="0" fontId="3" fillId="0" borderId="24" xfId="0" applyFont="1" applyBorder="1" applyAlignment="1">
      <alignment vertical="center"/>
    </xf>
    <xf numFmtId="43" fontId="4" fillId="15" borderId="6" xfId="1" applyFont="1" applyFill="1" applyBorder="1" applyAlignment="1">
      <alignment horizontal="center" vertical="center" wrapText="1"/>
    </xf>
    <xf numFmtId="0" fontId="4" fillId="15" borderId="8" xfId="0" applyFont="1" applyFill="1" applyBorder="1" applyAlignment="1">
      <alignment horizontal="center" vertical="center" wrapText="1"/>
    </xf>
    <xf numFmtId="0" fontId="4" fillId="15" borderId="9" xfId="0" applyFont="1" applyFill="1" applyBorder="1" applyAlignment="1">
      <alignment horizontal="justify" vertical="center" wrapText="1"/>
    </xf>
    <xf numFmtId="0" fontId="4" fillId="15" borderId="9" xfId="0" applyFont="1" applyFill="1" applyBorder="1" applyAlignment="1">
      <alignment horizontal="center" vertical="center" wrapText="1"/>
    </xf>
    <xf numFmtId="43" fontId="4" fillId="15" borderId="9" xfId="1" applyFont="1" applyFill="1" applyBorder="1" applyAlignment="1">
      <alignment horizontal="center" vertical="center" wrapText="1"/>
    </xf>
    <xf numFmtId="0" fontId="4" fillId="15" borderId="10" xfId="0" applyFont="1" applyFill="1" applyBorder="1" applyAlignment="1">
      <alignment vertical="center"/>
    </xf>
    <xf numFmtId="0" fontId="3" fillId="3" borderId="0" xfId="0" applyFont="1" applyFill="1" applyAlignment="1">
      <alignment horizontal="center" vertical="center"/>
    </xf>
    <xf numFmtId="0" fontId="4" fillId="3" borderId="0" xfId="0" applyFont="1" applyFill="1" applyAlignment="1">
      <alignment vertical="center" wrapText="1"/>
    </xf>
    <xf numFmtId="0" fontId="3" fillId="3" borderId="0" xfId="0" applyFont="1" applyFill="1" applyAlignment="1">
      <alignment vertical="center" wrapText="1"/>
    </xf>
    <xf numFmtId="0" fontId="3" fillId="3" borderId="0" xfId="0" applyFont="1" applyFill="1" applyAlignment="1">
      <alignment horizontal="left" vertical="center" wrapText="1"/>
    </xf>
    <xf numFmtId="0" fontId="18" fillId="0" borderId="0" xfId="0" applyFont="1" applyAlignment="1">
      <alignment horizontal="center" vertical="center"/>
    </xf>
    <xf numFmtId="0" fontId="18" fillId="0" borderId="0" xfId="0" applyFont="1" applyAlignment="1">
      <alignment horizontal="center" vertical="center" wrapText="1"/>
    </xf>
    <xf numFmtId="0" fontId="13" fillId="0" borderId="48" xfId="0" applyFont="1" applyBorder="1" applyAlignment="1">
      <alignment horizontal="center" vertical="center" wrapText="1"/>
    </xf>
    <xf numFmtId="0" fontId="13" fillId="0" borderId="31" xfId="0" applyFont="1" applyBorder="1" applyAlignment="1">
      <alignment horizontal="center" vertical="center" wrapText="1"/>
    </xf>
    <xf numFmtId="0" fontId="35" fillId="0" borderId="0" xfId="0" applyFont="1" applyAlignment="1">
      <alignment horizontal="right" vertical="center"/>
    </xf>
    <xf numFmtId="0" fontId="40" fillId="0" borderId="0" xfId="0" applyFont="1" applyAlignment="1">
      <alignment vertical="center" wrapText="1"/>
    </xf>
    <xf numFmtId="0" fontId="10" fillId="0" borderId="0" xfId="7" applyFont="1"/>
    <xf numFmtId="0" fontId="37" fillId="0" borderId="0" xfId="7" applyFont="1" applyAlignment="1">
      <alignment vertical="center"/>
    </xf>
    <xf numFmtId="0" fontId="8" fillId="0" borderId="0" xfId="7" applyFont="1"/>
    <xf numFmtId="0" fontId="36" fillId="0" borderId="0" xfId="7" applyFont="1" applyAlignment="1">
      <alignment horizontal="center" vertical="center"/>
    </xf>
    <xf numFmtId="0" fontId="36" fillId="0" borderId="76" xfId="7" applyFont="1" applyBorder="1" applyAlignment="1">
      <alignment horizontal="center" vertical="center"/>
    </xf>
    <xf numFmtId="0" fontId="36" fillId="0" borderId="76" xfId="7" applyFont="1" applyBorder="1" applyAlignment="1">
      <alignment vertical="center"/>
    </xf>
    <xf numFmtId="0" fontId="36" fillId="0" borderId="76" xfId="7" applyFont="1" applyBorder="1" applyAlignment="1">
      <alignment horizontal="center" vertical="center" wrapText="1"/>
    </xf>
    <xf numFmtId="0" fontId="35" fillId="0" borderId="76" xfId="7" applyFont="1" applyBorder="1" applyAlignment="1">
      <alignment horizontal="center" vertical="center" wrapText="1"/>
    </xf>
    <xf numFmtId="0" fontId="36" fillId="0" borderId="0" xfId="7" applyFont="1"/>
    <xf numFmtId="0" fontId="36" fillId="0" borderId="77" xfId="7" applyFont="1" applyBorder="1" applyAlignment="1">
      <alignment horizontal="center" vertical="center"/>
    </xf>
    <xf numFmtId="0" fontId="36" fillId="0" borderId="77" xfId="7" applyFont="1" applyBorder="1" applyAlignment="1">
      <alignment vertical="center"/>
    </xf>
    <xf numFmtId="0" fontId="36" fillId="0" borderId="77" xfId="7" applyFont="1" applyBorder="1" applyAlignment="1">
      <alignment horizontal="center" vertical="center" wrapText="1"/>
    </xf>
    <xf numFmtId="0" fontId="35" fillId="0" borderId="77" xfId="7" applyFont="1" applyBorder="1" applyAlignment="1">
      <alignment horizontal="center" vertical="center" wrapText="1"/>
    </xf>
    <xf numFmtId="0" fontId="36" fillId="6" borderId="78" xfId="7" applyFont="1" applyFill="1" applyBorder="1" applyAlignment="1">
      <alignment horizontal="center" vertical="center" wrapText="1"/>
    </xf>
    <xf numFmtId="0" fontId="36" fillId="0" borderId="78" xfId="7" applyFont="1" applyBorder="1" applyAlignment="1">
      <alignment horizontal="center" vertical="center" wrapText="1"/>
    </xf>
    <xf numFmtId="0" fontId="53" fillId="0" borderId="24" xfId="7" applyFont="1" applyBorder="1" applyAlignment="1">
      <alignment horizontal="center" vertical="center"/>
    </xf>
    <xf numFmtId="0" fontId="44" fillId="0" borderId="0" xfId="7" applyFont="1" applyAlignment="1">
      <alignment horizontal="center" vertical="center"/>
    </xf>
    <xf numFmtId="0" fontId="35" fillId="0" borderId="24" xfId="7" applyFont="1" applyBorder="1" applyAlignment="1">
      <alignment vertical="center"/>
    </xf>
    <xf numFmtId="0" fontId="35" fillId="0" borderId="24" xfId="7" applyFont="1" applyBorder="1" applyAlignment="1">
      <alignment horizontal="center" vertical="center" wrapText="1"/>
    </xf>
    <xf numFmtId="0" fontId="36" fillId="0" borderId="78" xfId="7" applyFont="1" applyBorder="1" applyAlignment="1">
      <alignment horizontal="center" vertical="center"/>
    </xf>
    <xf numFmtId="0" fontId="36" fillId="6" borderId="78" xfId="7" applyFont="1" applyFill="1" applyBorder="1" applyAlignment="1">
      <alignment vertical="center"/>
    </xf>
    <xf numFmtId="0" fontId="53" fillId="0" borderId="20" xfId="7" applyFont="1" applyBorder="1" applyAlignment="1">
      <alignment horizontal="center" vertical="center" wrapText="1"/>
    </xf>
    <xf numFmtId="0" fontId="36" fillId="0" borderId="82" xfId="7" applyFont="1" applyBorder="1" applyAlignment="1">
      <alignment horizontal="left" vertical="center" wrapText="1"/>
    </xf>
    <xf numFmtId="0" fontId="36" fillId="0" borderId="84" xfId="7" applyFont="1" applyBorder="1" applyAlignment="1">
      <alignment horizontal="center" vertical="center" wrapText="1"/>
    </xf>
    <xf numFmtId="0" fontId="35" fillId="0" borderId="84" xfId="7" applyFont="1" applyBorder="1" applyAlignment="1">
      <alignment horizontal="center" vertical="center" wrapText="1"/>
    </xf>
    <xf numFmtId="0" fontId="35" fillId="0" borderId="76" xfId="7" applyFont="1" applyBorder="1" applyAlignment="1">
      <alignment horizontal="left" vertical="center" wrapText="1"/>
    </xf>
    <xf numFmtId="0" fontId="36" fillId="0" borderId="76" xfId="7" applyFont="1" applyBorder="1" applyAlignment="1">
      <alignment horizontal="left" vertical="center" wrapText="1"/>
    </xf>
    <xf numFmtId="0" fontId="36" fillId="0" borderId="88" xfId="7" applyFont="1" applyBorder="1" applyAlignment="1">
      <alignment horizontal="left" vertical="center" wrapText="1"/>
    </xf>
    <xf numFmtId="0" fontId="36" fillId="0" borderId="90" xfId="7" applyFont="1" applyBorder="1" applyAlignment="1">
      <alignment horizontal="center" vertical="center" wrapText="1"/>
    </xf>
    <xf numFmtId="0" fontId="35" fillId="0" borderId="90" xfId="7" applyFont="1" applyBorder="1" applyAlignment="1">
      <alignment horizontal="left" vertical="center" wrapText="1"/>
    </xf>
    <xf numFmtId="0" fontId="35" fillId="0" borderId="78" xfId="7" applyFont="1" applyBorder="1" applyAlignment="1">
      <alignment horizontal="left" vertical="center" wrapText="1"/>
    </xf>
    <xf numFmtId="0" fontId="53" fillId="0" borderId="24" xfId="7" applyFont="1" applyBorder="1" applyAlignment="1">
      <alignment horizontal="center" vertical="center" wrapText="1"/>
    </xf>
    <xf numFmtId="0" fontId="53" fillId="0" borderId="78" xfId="7" applyFont="1" applyBorder="1" applyAlignment="1">
      <alignment horizontal="left" vertical="center" wrapText="1"/>
    </xf>
    <xf numFmtId="0" fontId="36" fillId="0" borderId="85" xfId="7" applyFont="1" applyBorder="1" applyAlignment="1">
      <alignment horizontal="left" vertical="center" wrapText="1"/>
    </xf>
    <xf numFmtId="0" fontId="36" fillId="0" borderId="86" xfId="7" applyFont="1" applyBorder="1" applyAlignment="1">
      <alignment horizontal="center" vertical="center" wrapText="1"/>
    </xf>
    <xf numFmtId="0" fontId="36" fillId="0" borderId="77" xfId="7" applyFont="1" applyBorder="1" applyAlignment="1">
      <alignment horizontal="left" vertical="center" wrapText="1"/>
    </xf>
    <xf numFmtId="17" fontId="36" fillId="0" borderId="77" xfId="7" applyNumberFormat="1" applyFont="1" applyBorder="1" applyAlignment="1">
      <alignment horizontal="center" vertical="center" wrapText="1"/>
    </xf>
    <xf numFmtId="0" fontId="35" fillId="0" borderId="78" xfId="7" applyFont="1" applyBorder="1" applyAlignment="1">
      <alignment horizontal="center" vertical="center" wrapText="1"/>
    </xf>
    <xf numFmtId="0" fontId="36" fillId="0" borderId="76" xfId="7" applyFont="1" applyBorder="1" applyAlignment="1">
      <alignment vertical="center" wrapText="1"/>
    </xf>
    <xf numFmtId="0" fontId="36" fillId="0" borderId="77" xfId="7" applyFont="1" applyBorder="1" applyAlignment="1">
      <alignment vertical="center" wrapText="1"/>
    </xf>
    <xf numFmtId="0" fontId="44" fillId="0" borderId="0" xfId="7" applyFont="1"/>
    <xf numFmtId="0" fontId="35" fillId="0" borderId="0" xfId="7" applyFont="1"/>
    <xf numFmtId="0" fontId="36" fillId="0" borderId="78" xfId="7" applyFont="1" applyBorder="1" applyAlignment="1">
      <alignment horizontal="left" vertical="center" wrapText="1"/>
    </xf>
    <xf numFmtId="0" fontId="10" fillId="0" borderId="0" xfId="7" applyFont="1" applyAlignment="1">
      <alignment wrapText="1"/>
    </xf>
    <xf numFmtId="0" fontId="10" fillId="0" borderId="0" xfId="7" applyFont="1" applyAlignment="1">
      <alignment horizontal="center" vertical="center" wrapText="1"/>
    </xf>
    <xf numFmtId="164" fontId="18" fillId="0" borderId="0" xfId="2" applyNumberFormat="1" applyFont="1" applyFill="1" applyBorder="1" applyAlignment="1">
      <alignment vertical="center"/>
    </xf>
    <xf numFmtId="0" fontId="18" fillId="0" borderId="32" xfId="0" quotePrefix="1" applyFont="1" applyBorder="1" applyAlignment="1">
      <alignment horizontal="center" vertical="center"/>
    </xf>
    <xf numFmtId="0" fontId="13" fillId="0" borderId="40" xfId="0" applyFont="1" applyBorder="1" applyAlignment="1">
      <alignment vertical="center" wrapText="1"/>
    </xf>
    <xf numFmtId="0" fontId="13" fillId="0" borderId="48" xfId="0" applyFont="1" applyBorder="1" applyAlignment="1">
      <alignment vertical="center" wrapText="1"/>
    </xf>
    <xf numFmtId="0" fontId="13" fillId="0" borderId="31" xfId="0" applyFont="1" applyBorder="1" applyAlignment="1">
      <alignment vertical="center" wrapText="1"/>
    </xf>
    <xf numFmtId="0" fontId="13" fillId="0" borderId="37" xfId="0" applyFont="1" applyBorder="1" applyAlignment="1">
      <alignment vertical="center" wrapText="1"/>
    </xf>
    <xf numFmtId="0" fontId="18" fillId="0" borderId="37" xfId="0" applyFont="1" applyBorder="1" applyAlignment="1">
      <alignment vertical="center" wrapText="1"/>
    </xf>
    <xf numFmtId="0" fontId="18" fillId="0" borderId="37" xfId="0" applyFont="1" applyBorder="1" applyAlignment="1">
      <alignment horizontal="center" vertical="center"/>
    </xf>
    <xf numFmtId="0" fontId="18" fillId="0" borderId="40" xfId="0" applyFont="1" applyBorder="1" applyAlignment="1">
      <alignment vertical="center"/>
    </xf>
    <xf numFmtId="0" fontId="18" fillId="0" borderId="36" xfId="0" applyFont="1" applyBorder="1" applyAlignment="1">
      <alignment horizontal="center" vertical="center"/>
    </xf>
    <xf numFmtId="0" fontId="13" fillId="0" borderId="36" xfId="0" applyFont="1" applyBorder="1" applyAlignment="1">
      <alignment horizontal="center" vertical="center"/>
    </xf>
    <xf numFmtId="0" fontId="43" fillId="0" borderId="0" xfId="0" applyFont="1" applyAlignment="1">
      <alignment vertical="center"/>
    </xf>
    <xf numFmtId="0" fontId="57" fillId="0" borderId="0" xfId="0" applyFont="1" applyAlignment="1">
      <alignment vertical="center"/>
    </xf>
    <xf numFmtId="0" fontId="16" fillId="0" borderId="0" xfId="0" applyFont="1"/>
    <xf numFmtId="164" fontId="4" fillId="0" borderId="15" xfId="2" applyNumberFormat="1" applyFont="1" applyBorder="1" applyAlignment="1">
      <alignment horizontal="center" vertical="center" wrapText="1"/>
    </xf>
    <xf numFmtId="0" fontId="29" fillId="0" borderId="0" xfId="0" applyFont="1" applyAlignment="1">
      <alignment horizontal="left" vertical="center"/>
    </xf>
    <xf numFmtId="0" fontId="4" fillId="0" borderId="0" xfId="0" applyFont="1" applyAlignment="1">
      <alignment horizontal="left" vertical="center"/>
    </xf>
    <xf numFmtId="0" fontId="3" fillId="0" borderId="0" xfId="0" applyFont="1" applyAlignment="1">
      <alignment horizontal="left" vertical="center" wrapText="1"/>
    </xf>
    <xf numFmtId="0" fontId="7" fillId="0" borderId="62" xfId="0" applyFont="1" applyBorder="1" applyAlignment="1">
      <alignment horizontal="center" vertical="center" wrapText="1"/>
    </xf>
    <xf numFmtId="0" fontId="8" fillId="8" borderId="11" xfId="0" applyFont="1" applyFill="1" applyBorder="1" applyAlignment="1">
      <alignment horizontal="center" vertical="center" wrapText="1"/>
    </xf>
    <xf numFmtId="0" fontId="8" fillId="8" borderId="6" xfId="0" applyFont="1" applyFill="1" applyBorder="1" applyAlignment="1">
      <alignment horizontal="justify" vertical="center" wrapText="1"/>
    </xf>
    <xf numFmtId="0" fontId="3" fillId="8" borderId="6" xfId="0" applyFont="1" applyFill="1" applyBorder="1" applyAlignment="1">
      <alignment horizontal="center" vertical="center" wrapText="1"/>
    </xf>
    <xf numFmtId="43" fontId="3" fillId="8" borderId="6" xfId="1" applyFont="1" applyFill="1" applyBorder="1" applyAlignment="1">
      <alignment horizontal="center" vertical="center" wrapText="1"/>
    </xf>
    <xf numFmtId="43" fontId="4" fillId="8" borderId="6" xfId="1" applyFont="1" applyFill="1" applyBorder="1" applyAlignment="1">
      <alignment horizontal="center" vertical="center" wrapText="1"/>
    </xf>
    <xf numFmtId="0" fontId="3" fillId="8" borderId="12" xfId="0" applyFont="1" applyFill="1" applyBorder="1" applyAlignment="1">
      <alignment vertical="center"/>
    </xf>
    <xf numFmtId="0" fontId="3" fillId="8" borderId="6" xfId="0" applyFont="1" applyFill="1" applyBorder="1" applyAlignment="1">
      <alignment horizontal="left" vertical="center" wrapText="1"/>
    </xf>
    <xf numFmtId="0" fontId="4" fillId="8" borderId="11" xfId="0" applyFont="1" applyFill="1" applyBorder="1" applyAlignment="1">
      <alignment horizontal="center" vertical="center" wrapText="1"/>
    </xf>
    <xf numFmtId="0" fontId="4" fillId="8" borderId="6" xfId="0" applyFont="1" applyFill="1" applyBorder="1" applyAlignment="1">
      <alignment horizontal="left" vertical="center" wrapText="1"/>
    </xf>
    <xf numFmtId="0" fontId="4" fillId="8" borderId="6" xfId="0" applyFont="1" applyFill="1" applyBorder="1" applyAlignment="1">
      <alignment horizontal="center" vertical="center" wrapText="1"/>
    </xf>
    <xf numFmtId="0" fontId="4" fillId="8" borderId="12" xfId="0" applyFont="1" applyFill="1" applyBorder="1" applyAlignment="1">
      <alignment vertical="center"/>
    </xf>
    <xf numFmtId="0" fontId="51" fillId="0" borderId="0" xfId="0" applyFont="1"/>
    <xf numFmtId="164" fontId="23" fillId="6" borderId="27" xfId="1" applyNumberFormat="1" applyFont="1" applyFill="1" applyBorder="1" applyAlignment="1">
      <alignment vertical="center" wrapText="1"/>
    </xf>
    <xf numFmtId="0" fontId="2" fillId="0" borderId="70" xfId="0" applyFont="1" applyBorder="1" applyAlignment="1">
      <alignment vertical="center" wrapText="1"/>
    </xf>
    <xf numFmtId="0" fontId="41" fillId="0" borderId="37" xfId="0" applyFont="1" applyBorder="1" applyAlignment="1">
      <alignment vertical="center" wrapText="1"/>
    </xf>
    <xf numFmtId="3" fontId="36" fillId="8" borderId="0" xfId="6" applyNumberFormat="1" applyFont="1" applyFill="1" applyAlignment="1">
      <alignment wrapText="1"/>
    </xf>
    <xf numFmtId="0" fontId="7" fillId="8" borderId="6" xfId="0" quotePrefix="1" applyFont="1" applyFill="1" applyBorder="1" applyAlignment="1">
      <alignment horizontal="left" vertical="center" wrapText="1"/>
    </xf>
    <xf numFmtId="0" fontId="2" fillId="0" borderId="0" xfId="0" applyFont="1" applyAlignment="1">
      <alignment horizontal="center" vertical="center"/>
    </xf>
    <xf numFmtId="0" fontId="18" fillId="0" borderId="0" xfId="0" applyFont="1" applyAlignment="1">
      <alignment horizontal="center" vertical="center"/>
    </xf>
    <xf numFmtId="0" fontId="2" fillId="0" borderId="0" xfId="0" applyFont="1" applyAlignment="1">
      <alignment horizontal="center"/>
    </xf>
    <xf numFmtId="0" fontId="29" fillId="0" borderId="0" xfId="0" applyFont="1" applyAlignment="1">
      <alignment horizontal="center"/>
    </xf>
    <xf numFmtId="0" fontId="3" fillId="0" borderId="0" xfId="0" applyFont="1" applyAlignment="1">
      <alignment horizontal="center"/>
    </xf>
    <xf numFmtId="164" fontId="4" fillId="0" borderId="15" xfId="2" applyNumberFormat="1" applyFont="1" applyBorder="1" applyAlignment="1">
      <alignment horizontal="center" vertical="center" wrapText="1"/>
    </xf>
    <xf numFmtId="164" fontId="4" fillId="0" borderId="21" xfId="2" applyNumberFormat="1" applyFont="1" applyBorder="1" applyAlignment="1">
      <alignment horizontal="center" vertical="center" wrapText="1"/>
    </xf>
    <xf numFmtId="0" fontId="29" fillId="0" borderId="0" xfId="0" applyFont="1" applyAlignment="1">
      <alignment horizontal="left" vertical="center"/>
    </xf>
    <xf numFmtId="0" fontId="4" fillId="0" borderId="0" xfId="0" applyFont="1" applyAlignment="1">
      <alignment horizontal="left" vertical="center"/>
    </xf>
    <xf numFmtId="0" fontId="3" fillId="0" borderId="0" xfId="0" applyFont="1" applyAlignment="1">
      <alignment horizontal="left" vertical="center" wrapText="1"/>
    </xf>
    <xf numFmtId="0" fontId="7" fillId="0" borderId="62" xfId="0" applyFont="1" applyBorder="1" applyAlignment="1">
      <alignment horizontal="center" vertical="center" wrapText="1"/>
    </xf>
    <xf numFmtId="0" fontId="18" fillId="0" borderId="0" xfId="0" applyFont="1" applyAlignment="1">
      <alignment horizontal="center" vertical="center" wrapText="1"/>
    </xf>
    <xf numFmtId="0" fontId="13" fillId="0" borderId="0" xfId="0" applyFont="1" applyAlignment="1">
      <alignment horizontal="center" vertical="center"/>
    </xf>
    <xf numFmtId="0" fontId="40" fillId="0" borderId="0" xfId="0" applyFont="1" applyAlignment="1">
      <alignment horizontal="center" vertical="center"/>
    </xf>
    <xf numFmtId="0" fontId="40" fillId="0" borderId="0" xfId="0" applyFont="1" applyAlignment="1">
      <alignment horizontal="right" vertical="center" wrapText="1"/>
    </xf>
    <xf numFmtId="0" fontId="13" fillId="0" borderId="31" xfId="0" applyFont="1" applyBorder="1" applyAlignment="1">
      <alignment horizontal="center" vertical="center" wrapText="1"/>
    </xf>
    <xf numFmtId="0" fontId="35" fillId="0" borderId="0" xfId="0" applyFont="1" applyAlignment="1">
      <alignment horizontal="right" vertical="center"/>
    </xf>
    <xf numFmtId="0" fontId="2" fillId="0" borderId="0" xfId="0" applyFont="1"/>
    <xf numFmtId="0" fontId="18" fillId="0" borderId="24" xfId="0" applyFont="1" applyBorder="1" applyAlignment="1">
      <alignment horizontal="center" vertical="center"/>
    </xf>
    <xf numFmtId="0" fontId="18" fillId="0" borderId="24" xfId="0" applyFont="1" applyBorder="1" applyAlignment="1">
      <alignment vertical="center" wrapText="1"/>
    </xf>
    <xf numFmtId="0" fontId="18" fillId="0" borderId="24" xfId="0" applyFont="1" applyBorder="1" applyAlignment="1">
      <alignment horizontal="center" vertical="center" wrapText="1"/>
    </xf>
    <xf numFmtId="0" fontId="13" fillId="0" borderId="24" xfId="0" applyFont="1" applyBorder="1" applyAlignment="1">
      <alignment horizontal="center" vertical="center" wrapText="1"/>
    </xf>
    <xf numFmtId="0" fontId="18" fillId="15" borderId="24" xfId="0" applyFont="1" applyFill="1" applyBorder="1" applyAlignment="1">
      <alignment horizontal="center" vertical="center"/>
    </xf>
    <xf numFmtId="0" fontId="18" fillId="15" borderId="24" xfId="0" applyFont="1" applyFill="1" applyBorder="1" applyAlignment="1">
      <alignment vertical="center" wrapText="1"/>
    </xf>
    <xf numFmtId="0" fontId="18" fillId="15" borderId="24" xfId="0" applyFont="1" applyFill="1" applyBorder="1" applyAlignment="1">
      <alignment horizontal="center" vertical="center" wrapText="1"/>
    </xf>
    <xf numFmtId="0" fontId="18" fillId="0" borderId="24" xfId="0" applyFont="1" applyBorder="1" applyAlignment="1">
      <alignment vertical="center"/>
    </xf>
    <xf numFmtId="0" fontId="50" fillId="0" borderId="0" xfId="0" applyFont="1" applyAlignment="1">
      <alignment vertical="center"/>
    </xf>
    <xf numFmtId="164" fontId="18" fillId="15" borderId="24" xfId="1" applyNumberFormat="1" applyFont="1" applyFill="1" applyBorder="1" applyAlignment="1">
      <alignment horizontal="center" vertical="center" wrapText="1"/>
    </xf>
    <xf numFmtId="0" fontId="2" fillId="0" borderId="0" xfId="0" applyFont="1" applyAlignment="1">
      <alignment wrapText="1"/>
    </xf>
    <xf numFmtId="0" fontId="30" fillId="0" borderId="0" xfId="0" applyFont="1" applyAlignment="1">
      <alignment wrapText="1"/>
    </xf>
    <xf numFmtId="0" fontId="30" fillId="0" borderId="0" xfId="0" applyFont="1" applyAlignment="1">
      <alignment horizontal="right" wrapText="1"/>
    </xf>
    <xf numFmtId="0" fontId="29" fillId="0" borderId="0" xfId="0" applyFont="1"/>
    <xf numFmtId="0" fontId="38" fillId="0" borderId="0" xfId="0" applyFont="1"/>
    <xf numFmtId="0" fontId="38" fillId="0" borderId="0" xfId="0" applyFont="1" applyAlignment="1">
      <alignment horizontal="center" vertical="center"/>
    </xf>
    <xf numFmtId="0" fontId="38" fillId="0" borderId="0" xfId="0" applyFont="1" applyAlignment="1">
      <alignment vertical="center"/>
    </xf>
    <xf numFmtId="0" fontId="38" fillId="0" borderId="0" xfId="0" applyFont="1" applyAlignment="1">
      <alignment horizontal="center"/>
    </xf>
    <xf numFmtId="49" fontId="30" fillId="0" borderId="23" xfId="2" quotePrefix="1" applyNumberFormat="1" applyFont="1" applyFill="1" applyBorder="1" applyAlignment="1">
      <alignment horizontal="center" vertical="center" wrapText="1"/>
    </xf>
    <xf numFmtId="49" fontId="30" fillId="0" borderId="24" xfId="2" quotePrefix="1" applyNumberFormat="1" applyFont="1" applyFill="1" applyBorder="1" applyAlignment="1">
      <alignment horizontal="center" vertical="center" wrapText="1"/>
    </xf>
    <xf numFmtId="49" fontId="30" fillId="0" borderId="24" xfId="2" applyNumberFormat="1" applyFont="1" applyFill="1" applyBorder="1" applyAlignment="1">
      <alignment horizontal="center" vertical="center" wrapText="1"/>
    </xf>
    <xf numFmtId="49" fontId="30" fillId="0" borderId="25" xfId="2" applyNumberFormat="1" applyFont="1" applyFill="1" applyBorder="1" applyAlignment="1">
      <alignment horizontal="center" vertical="center" wrapText="1"/>
    </xf>
    <xf numFmtId="49" fontId="29" fillId="0" borderId="0" xfId="0" applyNumberFormat="1" applyFont="1" applyAlignment="1">
      <alignment horizontal="center"/>
    </xf>
    <xf numFmtId="0" fontId="30" fillId="5" borderId="26" xfId="0" applyFont="1" applyFill="1" applyBorder="1" applyAlignment="1">
      <alignment horizontal="center" vertical="center" wrapText="1"/>
    </xf>
    <xf numFmtId="0" fontId="30" fillId="5" borderId="5" xfId="0" applyFont="1" applyFill="1" applyBorder="1" applyAlignment="1">
      <alignment horizontal="justify" vertical="center" wrapText="1"/>
    </xf>
    <xf numFmtId="0" fontId="2" fillId="5" borderId="5" xfId="0" quotePrefix="1" applyFont="1" applyFill="1" applyBorder="1" applyAlignment="1">
      <alignment horizontal="center" vertical="center" wrapText="1"/>
    </xf>
    <xf numFmtId="0" fontId="30" fillId="5" borderId="5" xfId="0" applyFont="1" applyFill="1" applyBorder="1" applyAlignment="1">
      <alignment horizontal="justify" vertical="center"/>
    </xf>
    <xf numFmtId="0" fontId="30" fillId="5" borderId="5" xfId="0" applyFont="1" applyFill="1" applyBorder="1" applyAlignment="1">
      <alignment horizontal="center" vertical="center" wrapText="1"/>
    </xf>
    <xf numFmtId="0" fontId="2" fillId="5" borderId="7" xfId="0" applyFont="1" applyFill="1" applyBorder="1" applyAlignment="1">
      <alignment vertical="top"/>
    </xf>
    <xf numFmtId="0" fontId="37" fillId="0" borderId="0" xfId="0" applyFont="1" applyAlignment="1">
      <alignment vertical="top"/>
    </xf>
    <xf numFmtId="0" fontId="30" fillId="0" borderId="28" xfId="0" applyFont="1" applyBorder="1" applyAlignment="1">
      <alignment horizontal="center" vertical="center" wrapText="1"/>
    </xf>
    <xf numFmtId="0" fontId="30" fillId="0" borderId="30" xfId="0" applyFont="1" applyBorder="1" applyAlignment="1">
      <alignment horizontal="justify" vertical="center" wrapText="1"/>
    </xf>
    <xf numFmtId="0" fontId="30" fillId="0" borderId="30" xfId="0" applyFont="1" applyBorder="1" applyAlignment="1">
      <alignment horizontal="justify" vertical="center"/>
    </xf>
    <xf numFmtId="0" fontId="30" fillId="0" borderId="30" xfId="0" applyFont="1" applyBorder="1" applyAlignment="1">
      <alignment horizontal="center" vertical="center" wrapText="1"/>
    </xf>
    <xf numFmtId="0" fontId="30" fillId="0" borderId="31" xfId="0" applyFont="1" applyBorder="1" applyAlignment="1">
      <alignment vertical="top"/>
    </xf>
    <xf numFmtId="0" fontId="14" fillId="0" borderId="32" xfId="0" applyFont="1" applyBorder="1" applyAlignment="1">
      <alignment horizontal="center" vertical="center" wrapText="1"/>
    </xf>
    <xf numFmtId="0" fontId="29" fillId="0" borderId="34" xfId="0" applyFont="1" applyBorder="1" applyAlignment="1" applyProtection="1">
      <alignment horizontal="left" vertical="center"/>
      <protection locked="0"/>
    </xf>
    <xf numFmtId="0" fontId="29" fillId="0" borderId="34" xfId="0" applyFont="1" applyBorder="1" applyAlignment="1" applyProtection="1">
      <alignment horizontal="left" vertical="center" wrapText="1"/>
      <protection locked="0"/>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29" fillId="0" borderId="34" xfId="3" applyFont="1" applyBorder="1" applyAlignment="1">
      <alignment horizontal="left" vertical="center" wrapText="1"/>
      <protection locked="0"/>
    </xf>
    <xf numFmtId="0" fontId="58" fillId="0" borderId="32" xfId="0" applyFont="1" applyBorder="1" applyAlignment="1">
      <alignment horizontal="center" vertical="center" wrapText="1"/>
    </xf>
    <xf numFmtId="0" fontId="30" fillId="0" borderId="34" xfId="0" applyFont="1" applyBorder="1" applyAlignment="1">
      <alignment horizontal="left" vertical="center" wrapText="1"/>
    </xf>
    <xf numFmtId="0" fontId="29" fillId="0" borderId="34" xfId="0" applyFont="1" applyBorder="1" applyAlignment="1" applyProtection="1">
      <alignment vertical="center"/>
      <protection locked="0"/>
    </xf>
    <xf numFmtId="0" fontId="29" fillId="0" borderId="34" xfId="4" applyFont="1" applyBorder="1" applyAlignment="1">
      <alignment horizontal="left" vertical="center"/>
      <protection locked="0"/>
    </xf>
    <xf numFmtId="0" fontId="30" fillId="0" borderId="34" xfId="0" applyFont="1" applyBorder="1" applyAlignment="1">
      <alignment horizontal="center" vertical="center" wrapText="1"/>
    </xf>
    <xf numFmtId="0" fontId="30" fillId="0" borderId="35" xfId="0" applyFont="1" applyBorder="1" applyAlignment="1">
      <alignment vertical="top"/>
    </xf>
    <xf numFmtId="0" fontId="29" fillId="0" borderId="34" xfId="0" applyFont="1" applyBorder="1" applyAlignment="1" applyProtection="1">
      <alignment vertical="center" wrapText="1"/>
      <protection locked="0"/>
    </xf>
    <xf numFmtId="0" fontId="29" fillId="0" borderId="34" xfId="5" applyFont="1" applyBorder="1" applyAlignment="1">
      <alignment horizontal="left" vertical="center" wrapText="1"/>
      <protection locked="0"/>
    </xf>
    <xf numFmtId="0" fontId="30" fillId="0" borderId="34" xfId="0" applyFont="1" applyBorder="1" applyAlignment="1">
      <alignment horizontal="justify" vertical="center" wrapText="1"/>
    </xf>
    <xf numFmtId="0" fontId="2" fillId="0" borderId="34" xfId="0" applyFont="1" applyBorder="1" applyAlignment="1">
      <alignment horizontal="left" vertical="center" wrapText="1"/>
    </xf>
    <xf numFmtId="0" fontId="2" fillId="0" borderId="34" xfId="0" applyFont="1" applyBorder="1" applyAlignment="1">
      <alignment horizontal="justify" vertical="center" wrapText="1"/>
    </xf>
    <xf numFmtId="0" fontId="2" fillId="0" borderId="35" xfId="0" applyFont="1" applyBorder="1" applyAlignment="1">
      <alignment vertical="center"/>
    </xf>
    <xf numFmtId="0" fontId="2" fillId="0" borderId="45" xfId="0" applyFont="1" applyBorder="1" applyAlignment="1">
      <alignment horizontal="center" vertical="center" wrapText="1"/>
    </xf>
    <xf numFmtId="0" fontId="2" fillId="0" borderId="46" xfId="0" applyFont="1" applyBorder="1" applyAlignment="1">
      <alignment horizontal="justify" vertical="center" wrapText="1"/>
    </xf>
    <xf numFmtId="0" fontId="2" fillId="0" borderId="46" xfId="0" applyFont="1" applyBorder="1" applyAlignment="1">
      <alignment horizontal="justify" vertical="center"/>
    </xf>
    <xf numFmtId="0" fontId="2" fillId="0" borderId="46" xfId="0" applyFont="1" applyBorder="1" applyAlignment="1">
      <alignment horizontal="center" vertical="center" wrapText="1"/>
    </xf>
    <xf numFmtId="0" fontId="30" fillId="0" borderId="47" xfId="0" applyFont="1" applyBorder="1" applyAlignment="1">
      <alignment vertical="top"/>
    </xf>
    <xf numFmtId="165" fontId="30" fillId="0" borderId="38" xfId="0" applyNumberFormat="1" applyFont="1" applyBorder="1" applyAlignment="1">
      <alignment vertical="top" wrapText="1"/>
    </xf>
    <xf numFmtId="0" fontId="30" fillId="0" borderId="30" xfId="0" applyFont="1" applyBorder="1" applyAlignment="1">
      <alignment horizontal="left" vertical="center" wrapText="1"/>
    </xf>
    <xf numFmtId="0" fontId="30" fillId="0" borderId="30" xfId="0" applyFont="1" applyBorder="1" applyAlignment="1">
      <alignment horizontal="left" vertical="center"/>
    </xf>
    <xf numFmtId="0" fontId="30" fillId="0" borderId="31" xfId="0" applyFont="1" applyBorder="1" applyAlignment="1">
      <alignment vertical="center"/>
    </xf>
    <xf numFmtId="0" fontId="30" fillId="0" borderId="21" xfId="0" applyFont="1" applyBorder="1" applyAlignment="1">
      <alignment horizontal="left" vertical="center" wrapText="1"/>
    </xf>
    <xf numFmtId="0" fontId="30" fillId="0" borderId="21" xfId="0" applyFont="1" applyBorder="1" applyAlignment="1">
      <alignment horizontal="left" vertical="center"/>
    </xf>
    <xf numFmtId="0" fontId="30" fillId="0" borderId="48" xfId="0" applyFont="1" applyBorder="1" applyAlignment="1">
      <alignment vertical="center"/>
    </xf>
    <xf numFmtId="0" fontId="30" fillId="0" borderId="21" xfId="0" applyFont="1" applyBorder="1" applyAlignment="1">
      <alignment horizontal="center" vertical="center" wrapText="1"/>
    </xf>
    <xf numFmtId="1" fontId="30" fillId="0" borderId="42" xfId="0" applyNumberFormat="1" applyFont="1" applyBorder="1" applyAlignment="1">
      <alignment vertical="top" wrapText="1"/>
    </xf>
    <xf numFmtId="0" fontId="30" fillId="0" borderId="43" xfId="0" applyFont="1" applyBorder="1" applyAlignment="1">
      <alignment horizontal="left" vertical="top" wrapText="1"/>
    </xf>
    <xf numFmtId="0" fontId="30" fillId="0" borderId="43" xfId="0" applyFont="1" applyBorder="1" applyAlignment="1">
      <alignment horizontal="left" vertical="top"/>
    </xf>
    <xf numFmtId="0" fontId="30" fillId="0" borderId="43" xfId="0" applyFont="1" applyBorder="1" applyAlignment="1">
      <alignment horizontal="center" vertical="center" wrapText="1"/>
    </xf>
    <xf numFmtId="0" fontId="30" fillId="0" borderId="43" xfId="0" applyFont="1" applyBorder="1" applyAlignment="1">
      <alignment horizontal="center" vertical="top" wrapText="1"/>
    </xf>
    <xf numFmtId="0" fontId="30" fillId="0" borderId="44" xfId="0" applyFont="1" applyBorder="1" applyAlignment="1">
      <alignment vertical="top"/>
    </xf>
    <xf numFmtId="0" fontId="29" fillId="0" borderId="0" xfId="0" applyFont="1" applyAlignment="1">
      <alignment vertical="top"/>
    </xf>
    <xf numFmtId="0" fontId="2" fillId="0" borderId="0" xfId="0" applyFont="1" applyAlignment="1">
      <alignment horizontal="center" vertical="center" wrapText="1"/>
    </xf>
    <xf numFmtId="0" fontId="30" fillId="0" borderId="0" xfId="0" applyFont="1" applyAlignment="1">
      <alignment horizontal="center"/>
    </xf>
    <xf numFmtId="0" fontId="2" fillId="0" borderId="0" xfId="0" applyFont="1" applyAlignment="1">
      <alignment horizontal="left"/>
    </xf>
    <xf numFmtId="0" fontId="2" fillId="0" borderId="0" xfId="0" quotePrefix="1" applyFont="1" applyAlignment="1">
      <alignment horizontal="center" vertical="center"/>
    </xf>
    <xf numFmtId="0" fontId="29" fillId="0" borderId="0" xfId="0" applyFont="1" applyAlignment="1">
      <alignment horizontal="center" vertical="center" wrapText="1"/>
    </xf>
    <xf numFmtId="0" fontId="29" fillId="0" borderId="0" xfId="0" applyFont="1" applyAlignment="1">
      <alignment wrapText="1"/>
    </xf>
    <xf numFmtId="0" fontId="16" fillId="15" borderId="51" xfId="0" applyFont="1" applyFill="1" applyBorder="1" applyAlignment="1">
      <alignment horizontal="center" vertical="center" wrapText="1"/>
    </xf>
    <xf numFmtId="0" fontId="16" fillId="15" borderId="51" xfId="0" applyFont="1" applyFill="1" applyBorder="1" applyAlignment="1">
      <alignment vertical="center"/>
    </xf>
    <xf numFmtId="0" fontId="16" fillId="15" borderId="52" xfId="0" applyFont="1" applyFill="1" applyBorder="1" applyAlignment="1">
      <alignment vertical="center"/>
    </xf>
    <xf numFmtId="0" fontId="60" fillId="0" borderId="0" xfId="0" applyFont="1" applyAlignment="1">
      <alignment vertical="top"/>
    </xf>
    <xf numFmtId="0" fontId="3" fillId="0" borderId="97" xfId="0" applyFont="1" applyBorder="1" applyAlignment="1">
      <alignment horizontal="center" vertical="center" wrapText="1"/>
    </xf>
    <xf numFmtId="0" fontId="3" fillId="0" borderId="97" xfId="0" applyFont="1" applyBorder="1" applyAlignment="1">
      <alignment vertical="center"/>
    </xf>
    <xf numFmtId="0" fontId="3" fillId="0" borderId="98" xfId="0" applyFont="1" applyBorder="1" applyAlignment="1">
      <alignment vertical="center"/>
    </xf>
    <xf numFmtId="164" fontId="4" fillId="0" borderId="24" xfId="2" applyNumberFormat="1" applyFont="1" applyBorder="1" applyAlignment="1">
      <alignment horizontal="center" vertical="center" wrapText="1"/>
    </xf>
    <xf numFmtId="164" fontId="3" fillId="0" borderId="24" xfId="2" applyNumberFormat="1" applyFont="1" applyBorder="1" applyAlignment="1">
      <alignment horizontal="left" vertical="center" wrapText="1"/>
    </xf>
    <xf numFmtId="164" fontId="4" fillId="0" borderId="24" xfId="2" applyNumberFormat="1" applyFont="1" applyBorder="1" applyAlignment="1">
      <alignment horizontal="left" vertical="center" wrapText="1"/>
    </xf>
    <xf numFmtId="0" fontId="4" fillId="0" borderId="24" xfId="0" applyFont="1" applyBorder="1" applyAlignment="1">
      <alignment horizontal="center" vertical="center" wrapText="1"/>
    </xf>
    <xf numFmtId="0" fontId="4" fillId="0" borderId="24" xfId="0" applyFont="1" applyBorder="1" applyAlignment="1">
      <alignment vertical="center"/>
    </xf>
    <xf numFmtId="0" fontId="13" fillId="0" borderId="24" xfId="0" applyFont="1" applyBorder="1" applyAlignment="1">
      <alignment horizontal="justify" vertical="center" wrapText="1"/>
    </xf>
    <xf numFmtId="0" fontId="37" fillId="0" borderId="69" xfId="0" applyFont="1" applyFill="1" applyBorder="1" applyAlignment="1">
      <alignment horizontal="center" vertical="center" wrapText="1"/>
    </xf>
    <xf numFmtId="0" fontId="37" fillId="0" borderId="66" xfId="0" applyFont="1" applyFill="1" applyBorder="1" applyAlignment="1">
      <alignment horizontal="justify" vertical="center" wrapText="1"/>
    </xf>
    <xf numFmtId="0" fontId="29" fillId="0" borderId="66" xfId="0" applyFont="1" applyFill="1" applyBorder="1" applyAlignment="1">
      <alignment horizontal="justify" vertical="center" wrapText="1"/>
    </xf>
    <xf numFmtId="0" fontId="2" fillId="0" borderId="66" xfId="0" applyFont="1" applyFill="1" applyBorder="1" applyAlignment="1">
      <alignment horizontal="center" vertical="center" wrapText="1"/>
    </xf>
    <xf numFmtId="0" fontId="2" fillId="0" borderId="70" xfId="0" applyFont="1" applyFill="1" applyBorder="1" applyAlignment="1">
      <alignment vertical="center"/>
    </xf>
    <xf numFmtId="0" fontId="10" fillId="0" borderId="0" xfId="0" applyFont="1" applyFill="1" applyAlignment="1">
      <alignment vertical="center"/>
    </xf>
    <xf numFmtId="0" fontId="29" fillId="0" borderId="69" xfId="0" applyFont="1" applyFill="1" applyBorder="1" applyAlignment="1">
      <alignment horizontal="center" vertical="center" wrapText="1"/>
    </xf>
    <xf numFmtId="0" fontId="29" fillId="0" borderId="38" xfId="0" applyFont="1" applyFill="1" applyBorder="1" applyAlignment="1">
      <alignment horizontal="center" vertical="center" wrapText="1"/>
    </xf>
    <xf numFmtId="0" fontId="29" fillId="0" borderId="21" xfId="0" applyFont="1" applyFill="1" applyBorder="1" applyAlignment="1">
      <alignment horizontal="justify" vertical="center" wrapText="1"/>
    </xf>
    <xf numFmtId="0" fontId="2" fillId="0" borderId="21" xfId="0" applyFont="1" applyFill="1" applyBorder="1" applyAlignment="1">
      <alignment horizontal="center" vertical="center" wrapText="1"/>
    </xf>
    <xf numFmtId="0" fontId="2" fillId="0" borderId="48" xfId="0" applyFont="1" applyFill="1" applyBorder="1" applyAlignment="1">
      <alignment vertical="center"/>
    </xf>
    <xf numFmtId="0" fontId="18" fillId="0" borderId="15" xfId="0" applyFont="1" applyFill="1" applyBorder="1" applyAlignment="1">
      <alignment horizontal="left" vertical="center" wrapText="1"/>
    </xf>
    <xf numFmtId="0" fontId="18" fillId="16" borderId="24" xfId="0" applyFont="1" applyFill="1" applyBorder="1" applyAlignment="1">
      <alignment horizontal="center" vertical="center" wrapText="1"/>
    </xf>
    <xf numFmtId="0" fontId="18" fillId="16" borderId="24" xfId="0" applyFont="1" applyFill="1" applyBorder="1" applyAlignment="1">
      <alignment vertical="center" wrapText="1"/>
    </xf>
    <xf numFmtId="0" fontId="18" fillId="16" borderId="24" xfId="0" quotePrefix="1" applyFont="1" applyFill="1" applyBorder="1" applyAlignment="1">
      <alignment horizontal="center" vertical="center" wrapText="1"/>
    </xf>
    <xf numFmtId="0" fontId="18" fillId="16" borderId="24" xfId="0" applyFont="1" applyFill="1" applyBorder="1" applyAlignment="1">
      <alignment vertical="center"/>
    </xf>
    <xf numFmtId="0" fontId="13" fillId="16" borderId="24" xfId="0" applyFont="1" applyFill="1" applyBorder="1" applyAlignment="1">
      <alignment vertical="center"/>
    </xf>
    <xf numFmtId="0" fontId="13" fillId="0" borderId="24" xfId="0" quotePrefix="1" applyFont="1" applyBorder="1" applyAlignment="1">
      <alignment horizontal="center" vertical="center"/>
    </xf>
    <xf numFmtId="0" fontId="13" fillId="16" borderId="24" xfId="0" applyFont="1" applyFill="1" applyBorder="1" applyAlignment="1">
      <alignment vertical="center" wrapText="1"/>
    </xf>
    <xf numFmtId="0" fontId="18" fillId="0" borderId="24" xfId="0" quotePrefix="1" applyFont="1" applyBorder="1" applyAlignment="1">
      <alignment horizontal="center" vertical="center" wrapText="1"/>
    </xf>
    <xf numFmtId="0" fontId="18" fillId="0" borderId="48" xfId="0" quotePrefix="1" applyFont="1" applyBorder="1" applyAlignment="1">
      <alignment horizontal="center" vertical="center" wrapText="1"/>
    </xf>
    <xf numFmtId="0" fontId="13" fillId="0" borderId="0" xfId="0" applyFont="1" applyFill="1" applyAlignment="1">
      <alignment horizontal="center" vertical="center"/>
    </xf>
    <xf numFmtId="0" fontId="18" fillId="0" borderId="0" xfId="0" applyFont="1" applyFill="1" applyAlignment="1">
      <alignment horizontal="center" vertical="center"/>
    </xf>
    <xf numFmtId="0" fontId="13" fillId="0" borderId="0" xfId="0" applyFont="1" applyFill="1" applyAlignment="1">
      <alignment vertical="center"/>
    </xf>
    <xf numFmtId="0" fontId="35" fillId="0" borderId="0" xfId="0" applyFont="1" applyFill="1" applyAlignment="1">
      <alignment horizontal="right" vertical="center"/>
    </xf>
    <xf numFmtId="0" fontId="13" fillId="0" borderId="0" xfId="0" applyFont="1" applyFill="1" applyAlignment="1">
      <alignment vertical="center" wrapText="1"/>
    </xf>
    <xf numFmtId="0" fontId="41" fillId="0" borderId="0" xfId="0" applyFont="1" applyFill="1" applyAlignment="1">
      <alignment vertical="center"/>
    </xf>
    <xf numFmtId="0" fontId="40" fillId="0" borderId="0" xfId="0" applyFont="1" applyFill="1" applyAlignment="1">
      <alignment horizontal="center" vertical="center"/>
    </xf>
    <xf numFmtId="0" fontId="18" fillId="0" borderId="0" xfId="0" applyFont="1" applyFill="1" applyAlignment="1">
      <alignment horizontal="center" vertical="center" wrapText="1"/>
    </xf>
    <xf numFmtId="0" fontId="18" fillId="0" borderId="24" xfId="0" quotePrefix="1" applyFont="1" applyFill="1" applyBorder="1" applyAlignment="1">
      <alignment horizontal="center" vertical="center" wrapText="1"/>
    </xf>
    <xf numFmtId="0" fontId="18" fillId="0" borderId="24" xfId="0" applyFont="1" applyFill="1" applyBorder="1" applyAlignment="1">
      <alignment vertical="center"/>
    </xf>
    <xf numFmtId="0" fontId="18" fillId="0" borderId="0" xfId="0" applyFont="1" applyFill="1" applyAlignment="1">
      <alignment vertical="center" wrapText="1"/>
    </xf>
    <xf numFmtId="0" fontId="18" fillId="0" borderId="0" xfId="0" applyFont="1" applyFill="1" applyAlignment="1">
      <alignment vertical="center"/>
    </xf>
    <xf numFmtId="0" fontId="18" fillId="0" borderId="24" xfId="0" applyFont="1" applyFill="1" applyBorder="1" applyAlignment="1">
      <alignment horizontal="center" vertical="center"/>
    </xf>
    <xf numFmtId="0" fontId="18" fillId="0" borderId="24" xfId="0" applyFont="1" applyFill="1" applyBorder="1" applyAlignment="1">
      <alignment vertical="center" wrapText="1"/>
    </xf>
    <xf numFmtId="0" fontId="13" fillId="0" borderId="24" xfId="0" applyFont="1" applyFill="1" applyBorder="1" applyAlignment="1">
      <alignment horizontal="center" vertical="center"/>
    </xf>
    <xf numFmtId="0" fontId="13" fillId="0" borderId="24" xfId="0" applyFont="1" applyFill="1" applyBorder="1" applyAlignment="1">
      <alignment vertical="center" wrapText="1"/>
    </xf>
    <xf numFmtId="0" fontId="13" fillId="0" borderId="24" xfId="0" applyFont="1" applyFill="1" applyBorder="1" applyAlignment="1">
      <alignment vertical="center"/>
    </xf>
    <xf numFmtId="0" fontId="13" fillId="0" borderId="24" xfId="0" quotePrefix="1" applyFont="1" applyFill="1" applyBorder="1" applyAlignment="1">
      <alignment horizontal="center" vertical="center"/>
    </xf>
    <xf numFmtId="0" fontId="40" fillId="0" borderId="0" xfId="0" applyFont="1" applyFill="1" applyAlignment="1">
      <alignment vertical="center"/>
    </xf>
    <xf numFmtId="0" fontId="40" fillId="0" borderId="0" xfId="0" applyFont="1" applyFill="1" applyAlignment="1">
      <alignment vertical="center" wrapText="1"/>
    </xf>
    <xf numFmtId="164" fontId="13" fillId="0" borderId="0" xfId="1" applyNumberFormat="1" applyFont="1" applyFill="1" applyAlignment="1">
      <alignment horizontal="center" vertical="center"/>
    </xf>
    <xf numFmtId="164" fontId="18" fillId="0" borderId="0" xfId="1" applyNumberFormat="1" applyFont="1" applyFill="1" applyAlignment="1">
      <alignment horizontal="center" vertical="center"/>
    </xf>
    <xf numFmtId="164" fontId="13" fillId="0" borderId="0" xfId="1" applyNumberFormat="1" applyFont="1" applyFill="1" applyAlignment="1">
      <alignment vertical="center"/>
    </xf>
    <xf numFmtId="164" fontId="40" fillId="0" borderId="0" xfId="1" applyNumberFormat="1" applyFont="1" applyFill="1" applyAlignment="1">
      <alignment vertical="center"/>
    </xf>
    <xf numFmtId="0" fontId="13" fillId="0" borderId="0" xfId="0" applyFont="1" applyFill="1" applyAlignment="1">
      <alignment horizontal="left" vertical="center" wrapText="1"/>
    </xf>
    <xf numFmtId="0" fontId="13" fillId="0" borderId="100" xfId="0" applyFont="1" applyFill="1" applyBorder="1" applyAlignment="1">
      <alignment vertical="center" wrapText="1"/>
    </xf>
    <xf numFmtId="0" fontId="13" fillId="0" borderId="24" xfId="0" applyFont="1" applyFill="1" applyBorder="1" applyAlignment="1">
      <alignment horizontal="center" vertical="center" wrapText="1"/>
    </xf>
    <xf numFmtId="0" fontId="18" fillId="17" borderId="24" xfId="0" applyFont="1" applyFill="1" applyBorder="1" applyAlignment="1">
      <alignment horizontal="center" vertical="center" wrapText="1"/>
    </xf>
    <xf numFmtId="164" fontId="18" fillId="17" borderId="24" xfId="1" applyNumberFormat="1" applyFont="1" applyFill="1" applyBorder="1" applyAlignment="1">
      <alignment horizontal="center" vertical="center" wrapText="1"/>
    </xf>
    <xf numFmtId="0" fontId="18" fillId="17" borderId="24" xfId="0" quotePrefix="1" applyFont="1" applyFill="1" applyBorder="1" applyAlignment="1">
      <alignment horizontal="center" vertical="center" wrapText="1"/>
    </xf>
    <xf numFmtId="164" fontId="18" fillId="17" borderId="24" xfId="1" quotePrefix="1" applyNumberFormat="1" applyFont="1" applyFill="1" applyBorder="1" applyAlignment="1">
      <alignment horizontal="center" vertical="center" wrapText="1"/>
    </xf>
    <xf numFmtId="0" fontId="18" fillId="17" borderId="24" xfId="0" applyFont="1" applyFill="1" applyBorder="1" applyAlignment="1">
      <alignment vertical="center"/>
    </xf>
    <xf numFmtId="164" fontId="18" fillId="17" borderId="24" xfId="1" applyNumberFormat="1" applyFont="1" applyFill="1" applyBorder="1" applyAlignment="1">
      <alignment vertical="center"/>
    </xf>
    <xf numFmtId="0" fontId="18" fillId="17" borderId="24" xfId="0" applyFont="1" applyFill="1" applyBorder="1" applyAlignment="1">
      <alignment vertical="center" wrapText="1"/>
    </xf>
    <xf numFmtId="164" fontId="18" fillId="17" borderId="24" xfId="1" applyNumberFormat="1" applyFont="1" applyFill="1" applyBorder="1" applyAlignment="1">
      <alignment vertical="center" wrapText="1"/>
    </xf>
    <xf numFmtId="0" fontId="13" fillId="17" borderId="24" xfId="0" applyFont="1" applyFill="1" applyBorder="1" applyAlignment="1">
      <alignment vertical="center" wrapText="1"/>
    </xf>
    <xf numFmtId="164" fontId="13" fillId="17" borderId="24" xfId="1" applyNumberFormat="1" applyFont="1" applyFill="1" applyBorder="1" applyAlignment="1">
      <alignment vertical="center" wrapText="1"/>
    </xf>
    <xf numFmtId="0" fontId="13" fillId="17" borderId="24" xfId="0" applyFont="1" applyFill="1" applyBorder="1" applyAlignment="1">
      <alignment vertical="center"/>
    </xf>
    <xf numFmtId="164" fontId="13" fillId="17" borderId="24" xfId="1" applyNumberFormat="1" applyFont="1" applyFill="1" applyBorder="1" applyAlignment="1">
      <alignment vertical="center"/>
    </xf>
    <xf numFmtId="0" fontId="18" fillId="15" borderId="24" xfId="0" quotePrefix="1" applyFont="1" applyFill="1" applyBorder="1" applyAlignment="1">
      <alignment horizontal="center" vertical="center" wrapText="1"/>
    </xf>
    <xf numFmtId="0" fontId="18" fillId="15" borderId="24" xfId="0" applyFont="1" applyFill="1" applyBorder="1" applyAlignment="1">
      <alignment vertical="center"/>
    </xf>
    <xf numFmtId="0" fontId="13" fillId="15" borderId="24" xfId="0" applyFont="1" applyFill="1" applyBorder="1" applyAlignment="1">
      <alignment vertical="center"/>
    </xf>
    <xf numFmtId="164" fontId="13" fillId="15" borderId="24" xfId="1" applyNumberFormat="1" applyFont="1" applyFill="1" applyBorder="1" applyAlignment="1">
      <alignment vertical="center" wrapText="1"/>
    </xf>
    <xf numFmtId="164" fontId="18" fillId="15" borderId="24" xfId="1" applyNumberFormat="1" applyFont="1" applyFill="1" applyBorder="1" applyAlignment="1">
      <alignment vertical="center" wrapText="1"/>
    </xf>
    <xf numFmtId="164" fontId="18" fillId="15" borderId="24" xfId="1" applyNumberFormat="1" applyFont="1" applyFill="1" applyBorder="1" applyAlignment="1">
      <alignment vertical="center"/>
    </xf>
    <xf numFmtId="164" fontId="13" fillId="15" borderId="24" xfId="1" applyNumberFormat="1" applyFont="1" applyFill="1" applyBorder="1" applyAlignment="1">
      <alignment vertical="center"/>
    </xf>
    <xf numFmtId="0" fontId="13" fillId="15" borderId="24" xfId="0" applyFont="1" applyFill="1" applyBorder="1" applyAlignment="1">
      <alignment horizontal="center" vertical="center"/>
    </xf>
    <xf numFmtId="0" fontId="13" fillId="15" borderId="24" xfId="0" applyFont="1" applyFill="1" applyBorder="1" applyAlignment="1">
      <alignment horizontal="center" vertical="center" wrapText="1"/>
    </xf>
    <xf numFmtId="0" fontId="18" fillId="18" borderId="24" xfId="0" quotePrefix="1" applyFont="1" applyFill="1" applyBorder="1" applyAlignment="1">
      <alignment horizontal="center" vertical="center" wrapText="1"/>
    </xf>
    <xf numFmtId="0" fontId="13" fillId="18" borderId="24" xfId="0" applyFont="1" applyFill="1" applyBorder="1" applyAlignment="1">
      <alignment horizontal="center" vertical="center"/>
    </xf>
    <xf numFmtId="0" fontId="13" fillId="18" borderId="24" xfId="0" applyFont="1" applyFill="1" applyBorder="1" applyAlignment="1">
      <alignment horizontal="center" vertical="center" wrapText="1"/>
    </xf>
    <xf numFmtId="0" fontId="18" fillId="18" borderId="24" xfId="0" applyFont="1" applyFill="1" applyBorder="1" applyAlignment="1">
      <alignment horizontal="center" vertical="center"/>
    </xf>
    <xf numFmtId="164" fontId="13" fillId="18" borderId="24" xfId="2" applyNumberFormat="1" applyFont="1" applyFill="1" applyBorder="1" applyAlignment="1">
      <alignment horizontal="center" vertical="center"/>
    </xf>
    <xf numFmtId="164" fontId="18" fillId="18" borderId="24" xfId="2" applyNumberFormat="1" applyFont="1" applyFill="1" applyBorder="1" applyAlignment="1">
      <alignment vertical="center"/>
    </xf>
    <xf numFmtId="0" fontId="18" fillId="9" borderId="24" xfId="0" quotePrefix="1" applyFont="1" applyFill="1" applyBorder="1" applyAlignment="1">
      <alignment horizontal="center" vertical="center" wrapText="1"/>
    </xf>
    <xf numFmtId="0" fontId="18" fillId="9" borderId="24" xfId="0" applyFont="1" applyFill="1" applyBorder="1" applyAlignment="1">
      <alignment vertical="center"/>
    </xf>
    <xf numFmtId="0" fontId="13" fillId="9" borderId="24" xfId="0" applyFont="1" applyFill="1" applyBorder="1" applyAlignment="1">
      <alignment vertical="center"/>
    </xf>
    <xf numFmtId="0" fontId="18" fillId="19" borderId="39" xfId="0" quotePrefix="1" applyFont="1" applyFill="1" applyBorder="1" applyAlignment="1">
      <alignment horizontal="center" vertical="center" wrapText="1"/>
    </xf>
    <xf numFmtId="0" fontId="13" fillId="19" borderId="27" xfId="0" applyFont="1" applyFill="1" applyBorder="1" applyAlignment="1">
      <alignment horizontal="center" vertical="center"/>
    </xf>
    <xf numFmtId="0" fontId="13" fillId="19" borderId="29" xfId="0" applyFont="1" applyFill="1" applyBorder="1" applyAlignment="1">
      <alignment horizontal="center" vertical="center"/>
    </xf>
    <xf numFmtId="0" fontId="13" fillId="19" borderId="33" xfId="0" applyFont="1" applyFill="1" applyBorder="1" applyAlignment="1">
      <alignment horizontal="center" vertical="center"/>
    </xf>
    <xf numFmtId="0" fontId="13" fillId="19" borderId="33" xfId="0" applyFont="1" applyFill="1" applyBorder="1" applyAlignment="1">
      <alignment horizontal="center" vertical="center" wrapText="1"/>
    </xf>
    <xf numFmtId="0" fontId="18" fillId="19" borderId="33" xfId="0" applyFont="1" applyFill="1" applyBorder="1" applyAlignment="1">
      <alignment horizontal="center" vertical="center"/>
    </xf>
    <xf numFmtId="0" fontId="13" fillId="19" borderId="41" xfId="0" applyFont="1" applyFill="1" applyBorder="1" applyAlignment="1">
      <alignment horizontal="center" vertical="center"/>
    </xf>
    <xf numFmtId="0" fontId="13" fillId="19" borderId="99" xfId="0" applyFont="1" applyFill="1" applyBorder="1" applyAlignment="1">
      <alignment horizontal="center" vertical="center"/>
    </xf>
    <xf numFmtId="0" fontId="40" fillId="0" borderId="0" xfId="0" applyFont="1" applyAlignment="1">
      <alignment horizontal="right" vertical="center"/>
    </xf>
    <xf numFmtId="0" fontId="13" fillId="11" borderId="24" xfId="0" applyFont="1" applyFill="1" applyBorder="1" applyAlignment="1">
      <alignment vertical="center" wrapText="1"/>
    </xf>
    <xf numFmtId="0" fontId="4" fillId="16" borderId="24" xfId="0" quotePrefix="1" applyFont="1" applyFill="1" applyBorder="1" applyAlignment="1">
      <alignment horizontal="center" vertical="center" wrapText="1"/>
    </xf>
    <xf numFmtId="0" fontId="4" fillId="9" borderId="24" xfId="0" quotePrefix="1" applyFont="1" applyFill="1" applyBorder="1" applyAlignment="1">
      <alignment horizontal="center" vertical="center" wrapText="1"/>
    </xf>
    <xf numFmtId="3" fontId="35" fillId="0" borderId="24" xfId="6" applyNumberFormat="1" applyFont="1" applyBorder="1" applyAlignment="1">
      <alignment horizontal="left" vertical="center" wrapText="1"/>
    </xf>
    <xf numFmtId="0" fontId="36" fillId="19" borderId="24" xfId="0" applyFont="1" applyFill="1" applyBorder="1" applyAlignment="1">
      <alignment wrapText="1"/>
    </xf>
    <xf numFmtId="0" fontId="36" fillId="3" borderId="24" xfId="0" applyFont="1" applyFill="1" applyBorder="1"/>
    <xf numFmtId="3" fontId="61" fillId="0" borderId="24" xfId="0" applyNumberFormat="1" applyFont="1" applyBorder="1"/>
    <xf numFmtId="0" fontId="36" fillId="0" borderId="24" xfId="6" applyFont="1" applyBorder="1" applyAlignment="1">
      <alignment wrapText="1"/>
    </xf>
    <xf numFmtId="165" fontId="10" fillId="0" borderId="32" xfId="0" applyNumberFormat="1" applyFont="1" applyBorder="1" applyAlignment="1">
      <alignment horizontal="center" vertical="center" wrapText="1"/>
    </xf>
    <xf numFmtId="0" fontId="10" fillId="0" borderId="34" xfId="0" applyFont="1" applyBorder="1" applyAlignment="1">
      <alignment horizontal="left" vertical="center" wrapText="1"/>
    </xf>
    <xf numFmtId="0" fontId="10" fillId="0" borderId="46" xfId="0" applyFont="1" applyBorder="1" applyAlignment="1">
      <alignment horizontal="left" vertical="center" wrapText="1"/>
    </xf>
    <xf numFmtId="0" fontId="10" fillId="0" borderId="30" xfId="0" applyFont="1" applyBorder="1" applyAlignment="1">
      <alignment horizontal="left" vertical="center" wrapText="1"/>
    </xf>
    <xf numFmtId="165" fontId="10" fillId="0" borderId="34" xfId="0" applyNumberFormat="1" applyFont="1" applyBorder="1" applyAlignment="1">
      <alignment horizontal="left" vertical="center" wrapText="1"/>
    </xf>
    <xf numFmtId="165" fontId="10" fillId="20" borderId="32" xfId="0" applyNumberFormat="1" applyFont="1" applyFill="1" applyBorder="1" applyAlignment="1">
      <alignment horizontal="center" vertical="center" wrapText="1"/>
    </xf>
    <xf numFmtId="0" fontId="10" fillId="20" borderId="34" xfId="0" applyFont="1" applyFill="1" applyBorder="1" applyAlignment="1">
      <alignment horizontal="left" vertical="center" wrapText="1"/>
    </xf>
    <xf numFmtId="1" fontId="10" fillId="0" borderId="32" xfId="0" applyNumberFormat="1" applyFont="1" applyBorder="1" applyAlignment="1">
      <alignment horizontal="center" vertical="center" wrapText="1"/>
    </xf>
    <xf numFmtId="165" fontId="10" fillId="0" borderId="34" xfId="0" applyNumberFormat="1" applyFont="1" applyBorder="1" applyAlignment="1">
      <alignment vertical="center" wrapText="1"/>
    </xf>
    <xf numFmtId="1" fontId="10" fillId="0" borderId="45" xfId="0" applyNumberFormat="1" applyFont="1" applyBorder="1" applyAlignment="1">
      <alignment horizontal="center" vertical="center" wrapText="1"/>
    </xf>
    <xf numFmtId="165" fontId="10" fillId="0" borderId="46" xfId="0" applyNumberFormat="1" applyFont="1" applyBorder="1" applyAlignment="1">
      <alignment vertical="center" wrapText="1"/>
    </xf>
    <xf numFmtId="165" fontId="3" fillId="8" borderId="33" xfId="0" applyNumberFormat="1" applyFont="1" applyFill="1" applyBorder="1" applyAlignment="1">
      <alignment vertical="top" wrapText="1"/>
    </xf>
    <xf numFmtId="0" fontId="10" fillId="0" borderId="34" xfId="0" applyFont="1" applyBorder="1" applyAlignment="1">
      <alignment horizontal="left" vertical="center"/>
    </xf>
    <xf numFmtId="0" fontId="4" fillId="8" borderId="33" xfId="0" applyFont="1" applyFill="1" applyBorder="1" applyAlignment="1">
      <alignment horizontal="left" vertical="top" wrapText="1"/>
    </xf>
    <xf numFmtId="0" fontId="3" fillId="8" borderId="33" xfId="0" applyFont="1" applyFill="1" applyBorder="1" applyAlignment="1">
      <alignment horizontal="left" vertical="top" wrapText="1"/>
    </xf>
    <xf numFmtId="165" fontId="10" fillId="0" borderId="33" xfId="0" applyNumberFormat="1" applyFont="1" applyBorder="1" applyAlignment="1">
      <alignment horizontal="left" vertical="center" wrapText="1"/>
    </xf>
    <xf numFmtId="49" fontId="4" fillId="8" borderId="24" xfId="2" applyNumberFormat="1" applyFont="1" applyFill="1" applyBorder="1" applyAlignment="1">
      <alignment horizontal="center" vertical="center" wrapText="1"/>
    </xf>
    <xf numFmtId="0" fontId="2" fillId="0" borderId="0" xfId="0" applyFont="1" applyAlignment="1">
      <alignment horizontal="center" vertical="center"/>
    </xf>
    <xf numFmtId="0" fontId="4" fillId="0" borderId="0" xfId="0" applyFont="1" applyAlignment="1">
      <alignment horizontal="center" vertical="center"/>
    </xf>
    <xf numFmtId="0" fontId="2" fillId="0" borderId="0" xfId="0" applyFont="1" applyAlignment="1">
      <alignment horizontal="center"/>
    </xf>
    <xf numFmtId="0" fontId="4" fillId="0" borderId="0" xfId="0" applyFont="1" applyAlignment="1">
      <alignment horizontal="center"/>
    </xf>
    <xf numFmtId="0" fontId="13" fillId="0" borderId="0" xfId="8" applyFont="1" applyAlignment="1">
      <alignment horizontal="center" vertical="center" wrapText="1"/>
    </xf>
    <xf numFmtId="0" fontId="13" fillId="0" borderId="0" xfId="8" applyFont="1" applyAlignment="1">
      <alignment vertical="center" wrapText="1"/>
    </xf>
    <xf numFmtId="0" fontId="13" fillId="0" borderId="0" xfId="8" applyFont="1" applyAlignment="1">
      <alignment horizontal="left" vertical="center" wrapText="1"/>
    </xf>
    <xf numFmtId="0" fontId="6" fillId="0" borderId="0" xfId="8"/>
    <xf numFmtId="0" fontId="35" fillId="0" borderId="0" xfId="8" applyFont="1" applyAlignment="1">
      <alignment horizontal="right" vertical="center"/>
    </xf>
    <xf numFmtId="0" fontId="44" fillId="0" borderId="0" xfId="8" applyFont="1" applyAlignment="1">
      <alignment vertical="center"/>
    </xf>
    <xf numFmtId="0" fontId="35" fillId="0" borderId="101" xfId="8" applyFont="1" applyBorder="1" applyAlignment="1">
      <alignment horizontal="center" vertical="center"/>
    </xf>
    <xf numFmtId="0" fontId="35" fillId="0" borderId="102" xfId="8" applyFont="1" applyBorder="1" applyAlignment="1">
      <alignment horizontal="center" vertical="center" wrapText="1"/>
    </xf>
    <xf numFmtId="0" fontId="35" fillId="0" borderId="103" xfId="8" applyFont="1" applyBorder="1" applyAlignment="1">
      <alignment horizontal="center" vertical="center" wrapText="1"/>
    </xf>
    <xf numFmtId="0" fontId="35" fillId="0" borderId="104" xfId="8" applyFont="1" applyBorder="1" applyAlignment="1">
      <alignment horizontal="center" vertical="center" wrapText="1"/>
    </xf>
    <xf numFmtId="0" fontId="36" fillId="0" borderId="105" xfId="8" quotePrefix="1" applyFont="1" applyBorder="1" applyAlignment="1">
      <alignment horizontal="center" vertical="center" wrapText="1"/>
    </xf>
    <xf numFmtId="0" fontId="36" fillId="0" borderId="105" xfId="8" applyFont="1" applyBorder="1" applyAlignment="1">
      <alignment horizontal="center" vertical="center"/>
    </xf>
    <xf numFmtId="0" fontId="36" fillId="0" borderId="106" xfId="8" applyFont="1" applyBorder="1" applyAlignment="1">
      <alignment horizontal="center" vertical="center"/>
    </xf>
    <xf numFmtId="0" fontId="35" fillId="0" borderId="107" xfId="8" applyFont="1" applyBorder="1" applyAlignment="1">
      <alignment horizontal="center" vertical="center" wrapText="1"/>
    </xf>
    <xf numFmtId="0" fontId="46" fillId="0" borderId="0" xfId="8" applyFont="1" applyAlignment="1">
      <alignment wrapText="1"/>
    </xf>
    <xf numFmtId="0" fontId="8" fillId="0" borderId="0" xfId="8" applyFont="1" applyAlignment="1">
      <alignment wrapText="1"/>
    </xf>
    <xf numFmtId="167" fontId="4" fillId="0" borderId="28" xfId="1" applyNumberFormat="1" applyFont="1" applyFill="1" applyBorder="1" applyAlignment="1">
      <alignment vertical="center" wrapText="1"/>
    </xf>
    <xf numFmtId="0" fontId="3" fillId="0" borderId="37" xfId="0" applyFont="1" applyBorder="1" applyAlignment="1">
      <alignment horizontal="left" vertical="center" wrapText="1"/>
    </xf>
    <xf numFmtId="165" fontId="8" fillId="0" borderId="32" xfId="0" applyNumberFormat="1" applyFont="1" applyBorder="1" applyAlignment="1">
      <alignment horizontal="center" vertical="center" wrapText="1"/>
    </xf>
    <xf numFmtId="164" fontId="3" fillId="0" borderId="32" xfId="2" applyNumberFormat="1" applyFont="1" applyBorder="1" applyAlignment="1">
      <alignment horizontal="center" vertical="center" wrapText="1"/>
    </xf>
    <xf numFmtId="164" fontId="3" fillId="0" borderId="9" xfId="0" applyNumberFormat="1" applyFont="1" applyBorder="1" applyAlignment="1">
      <alignment vertical="center"/>
    </xf>
    <xf numFmtId="0" fontId="4" fillId="0" borderId="58" xfId="0" applyFont="1" applyBorder="1" applyAlignment="1">
      <alignment horizontal="justify" vertical="center" wrapText="1"/>
    </xf>
    <xf numFmtId="164" fontId="4" fillId="6" borderId="5" xfId="1" applyNumberFormat="1" applyFont="1" applyFill="1" applyBorder="1" applyAlignment="1">
      <alignment horizontal="center" vertical="center" wrapText="1"/>
    </xf>
    <xf numFmtId="164" fontId="4" fillId="7" borderId="30" xfId="1" applyNumberFormat="1" applyFont="1" applyFill="1" applyBorder="1" applyAlignment="1">
      <alignment horizontal="center" vertical="center" wrapText="1"/>
    </xf>
    <xf numFmtId="164" fontId="4" fillId="0" borderId="30" xfId="1" applyNumberFormat="1" applyFont="1" applyFill="1" applyBorder="1" applyAlignment="1">
      <alignment horizontal="center" vertical="center" wrapText="1"/>
    </xf>
    <xf numFmtId="0" fontId="3" fillId="0" borderId="34" xfId="0" applyFont="1" applyBorder="1" applyAlignment="1">
      <alignment horizontal="center" vertical="center"/>
    </xf>
    <xf numFmtId="0" fontId="3" fillId="0" borderId="30" xfId="0" applyFont="1" applyBorder="1" applyAlignment="1">
      <alignment horizontal="center" vertical="center" wrapText="1"/>
    </xf>
    <xf numFmtId="0" fontId="3" fillId="0" borderId="0" xfId="0" applyFont="1" applyAlignment="1">
      <alignment horizontal="center" wrapText="1"/>
    </xf>
    <xf numFmtId="166" fontId="3" fillId="0" borderId="0" xfId="0" applyNumberFormat="1" applyFont="1" applyAlignment="1">
      <alignment horizontal="center" wrapText="1"/>
    </xf>
    <xf numFmtId="0" fontId="3" fillId="0" borderId="0" xfId="0" quotePrefix="1" applyFont="1" applyAlignment="1">
      <alignment horizontal="center"/>
    </xf>
    <xf numFmtId="0" fontId="10" fillId="0" borderId="0" xfId="0" applyFont="1" applyAlignment="1">
      <alignment horizontal="center" wrapText="1"/>
    </xf>
    <xf numFmtId="0" fontId="0" fillId="0" borderId="0" xfId="0" applyAlignment="1">
      <alignment horizontal="center" wrapText="1"/>
    </xf>
    <xf numFmtId="164" fontId="3" fillId="6" borderId="37" xfId="0" applyNumberFormat="1" applyFont="1" applyFill="1" applyBorder="1" applyAlignment="1">
      <alignment horizontal="center" vertical="center" wrapText="1"/>
    </xf>
    <xf numFmtId="0" fontId="3" fillId="0" borderId="0" xfId="0" applyFont="1" applyAlignment="1">
      <alignment horizontal="center" vertical="center" wrapText="1"/>
    </xf>
    <xf numFmtId="166" fontId="3" fillId="0" borderId="0" xfId="0" applyNumberFormat="1" applyFont="1" applyAlignment="1">
      <alignment horizontal="center" vertical="center" wrapText="1"/>
    </xf>
    <xf numFmtId="0" fontId="3" fillId="0" borderId="0" xfId="0" quotePrefix="1" applyFont="1" applyAlignment="1">
      <alignment horizontal="center" vertical="center"/>
    </xf>
    <xf numFmtId="0" fontId="10" fillId="0" borderId="0" xfId="0" applyFont="1" applyAlignment="1">
      <alignment horizontal="center" vertical="center" wrapText="1"/>
    </xf>
    <xf numFmtId="0" fontId="0" fillId="0" borderId="0" xfId="0" applyAlignment="1">
      <alignment horizontal="center" vertical="center" wrapText="1"/>
    </xf>
    <xf numFmtId="164" fontId="3" fillId="0" borderId="58" xfId="1" applyNumberFormat="1" applyFont="1" applyBorder="1" applyAlignment="1">
      <alignment horizontal="center" vertical="center" wrapText="1"/>
    </xf>
    <xf numFmtId="164" fontId="3" fillId="8" borderId="32" xfId="2" applyNumberFormat="1" applyFont="1" applyFill="1" applyBorder="1" applyAlignment="1">
      <alignment horizontal="center" vertical="center" wrapText="1"/>
    </xf>
    <xf numFmtId="0" fontId="29" fillId="3" borderId="24" xfId="0" applyFont="1" applyFill="1" applyBorder="1" applyAlignment="1">
      <alignment vertical="center" wrapText="1"/>
    </xf>
    <xf numFmtId="0" fontId="0" fillId="0" borderId="24" xfId="0" applyBorder="1" applyAlignment="1">
      <alignment horizontal="center" vertical="center"/>
    </xf>
    <xf numFmtId="0" fontId="2" fillId="0" borderId="24" xfId="0" applyFont="1" applyBorder="1" applyAlignment="1">
      <alignment horizontal="left" vertical="center" wrapText="1"/>
    </xf>
    <xf numFmtId="0" fontId="2" fillId="0" borderId="24" xfId="0" applyFont="1" applyBorder="1" applyAlignment="1">
      <alignment horizontal="left" vertical="center"/>
    </xf>
    <xf numFmtId="0" fontId="29" fillId="0" borderId="93" xfId="8" applyFont="1" applyBorder="1" applyAlignment="1">
      <alignment vertical="center"/>
    </xf>
    <xf numFmtId="0" fontId="29" fillId="0" borderId="93" xfId="8" applyFont="1" applyBorder="1" applyAlignment="1">
      <alignment vertical="center" wrapText="1"/>
    </xf>
    <xf numFmtId="0" fontId="29" fillId="0" borderId="24" xfId="8" applyFont="1" applyBorder="1" applyAlignment="1">
      <alignment vertical="center"/>
    </xf>
    <xf numFmtId="164" fontId="2" fillId="0" borderId="66" xfId="1" applyNumberFormat="1" applyFont="1" applyBorder="1" applyAlignment="1">
      <alignment horizontal="center" vertical="center" wrapText="1"/>
    </xf>
    <xf numFmtId="0" fontId="36" fillId="0" borderId="21" xfId="7" applyFont="1" applyBorder="1" applyAlignment="1">
      <alignment horizontal="center" vertical="center" wrapText="1"/>
    </xf>
    <xf numFmtId="0" fontId="36" fillId="0" borderId="111" xfId="7" applyFont="1" applyBorder="1" applyAlignment="1">
      <alignment horizontal="left" vertical="center" wrapText="1"/>
    </xf>
    <xf numFmtId="0" fontId="36" fillId="0" borderId="39" xfId="7" applyFont="1" applyBorder="1" applyAlignment="1">
      <alignment horizontal="center" vertical="center" wrapText="1"/>
    </xf>
    <xf numFmtId="0" fontId="36" fillId="0" borderId="21" xfId="7" applyFont="1" applyBorder="1" applyAlignment="1">
      <alignment horizontal="left" vertical="center" wrapText="1"/>
    </xf>
    <xf numFmtId="0" fontId="2" fillId="8" borderId="24" xfId="0" applyFont="1" applyFill="1" applyBorder="1" applyAlignment="1">
      <alignment horizontal="left" vertical="center"/>
    </xf>
    <xf numFmtId="0" fontId="29" fillId="8" borderId="93" xfId="8" applyFont="1" applyFill="1" applyBorder="1" applyAlignment="1">
      <alignment horizontal="center" vertical="center"/>
    </xf>
    <xf numFmtId="0" fontId="29" fillId="8" borderId="24" xfId="8" applyFont="1" applyFill="1" applyBorder="1" applyAlignment="1">
      <alignment horizontal="center" vertical="center"/>
    </xf>
    <xf numFmtId="0" fontId="29" fillId="8" borderId="93" xfId="8" applyFont="1" applyFill="1" applyBorder="1" applyAlignment="1">
      <alignment vertical="center"/>
    </xf>
    <xf numFmtId="0" fontId="49" fillId="0" borderId="0" xfId="0" applyFont="1" applyAlignment="1">
      <alignment horizontal="center" vertical="center"/>
    </xf>
    <xf numFmtId="0" fontId="0" fillId="0" borderId="4" xfId="0" applyBorder="1" applyAlignment="1">
      <alignment horizontal="center" vertical="center"/>
    </xf>
    <xf numFmtId="0" fontId="9" fillId="3" borderId="0" xfId="0" applyFont="1" applyFill="1" applyAlignment="1">
      <alignment horizontal="left" vertical="center" wrapText="1"/>
    </xf>
    <xf numFmtId="0" fontId="4" fillId="0" borderId="0" xfId="0" applyFont="1" applyAlignment="1">
      <alignment horizontal="center" vertical="center" wrapText="1"/>
    </xf>
    <xf numFmtId="0" fontId="2"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xf>
    <xf numFmtId="0" fontId="18" fillId="0" borderId="0" xfId="0" applyFont="1" applyAlignment="1">
      <alignment horizontal="center" vertical="center"/>
    </xf>
    <xf numFmtId="0" fontId="5" fillId="0" borderId="0" xfId="0" applyFont="1" applyBorder="1" applyAlignment="1">
      <alignment horizontal="right" vertical="center"/>
    </xf>
    <xf numFmtId="0" fontId="9" fillId="3" borderId="0" xfId="0" applyFont="1" applyFill="1" applyAlignment="1">
      <alignment horizontal="left" wrapText="1"/>
    </xf>
    <xf numFmtId="0" fontId="13" fillId="3" borderId="0" xfId="0" applyFont="1" applyFill="1" applyAlignment="1">
      <alignment horizontal="left" wrapText="1"/>
    </xf>
    <xf numFmtId="0" fontId="2" fillId="3" borderId="0" xfId="0" applyFont="1" applyFill="1" applyAlignment="1">
      <alignment wrapText="1"/>
    </xf>
    <xf numFmtId="0" fontId="2" fillId="0" borderId="0" xfId="0" applyFont="1" applyAlignment="1">
      <alignment horizontal="center"/>
    </xf>
    <xf numFmtId="0" fontId="4" fillId="0" borderId="0" xfId="0" applyFont="1" applyAlignment="1">
      <alignment horizontal="right"/>
    </xf>
    <xf numFmtId="0" fontId="4" fillId="0" borderId="0" xfId="0" applyFont="1" applyAlignment="1">
      <alignment horizontal="center"/>
    </xf>
    <xf numFmtId="0" fontId="5" fillId="0" borderId="13" xfId="0" applyFont="1" applyBorder="1" applyAlignment="1">
      <alignment horizontal="right"/>
    </xf>
    <xf numFmtId="0" fontId="5" fillId="0" borderId="0" xfId="0" applyFont="1" applyAlignment="1">
      <alignment horizontal="center" wrapText="1"/>
    </xf>
    <xf numFmtId="166" fontId="3" fillId="0" borderId="0" xfId="0" applyNumberFormat="1" applyFont="1" applyAlignment="1">
      <alignment horizontal="left" wrapText="1"/>
    </xf>
    <xf numFmtId="164" fontId="4" fillId="0" borderId="15" xfId="2" applyNumberFormat="1" applyFont="1" applyFill="1" applyBorder="1" applyAlignment="1">
      <alignment horizontal="center" vertical="center" wrapText="1"/>
    </xf>
    <xf numFmtId="164" fontId="4" fillId="0" borderId="20" xfId="2" applyNumberFormat="1" applyFont="1" applyFill="1" applyBorder="1" applyAlignment="1">
      <alignment horizontal="center" vertical="center" wrapText="1"/>
    </xf>
    <xf numFmtId="164" fontId="4" fillId="0" borderId="18" xfId="2" applyNumberFormat="1" applyFont="1" applyFill="1" applyBorder="1" applyAlignment="1">
      <alignment horizontal="center" vertical="center" wrapText="1"/>
    </xf>
    <xf numFmtId="164" fontId="4" fillId="0" borderId="22" xfId="2" applyNumberFormat="1" applyFont="1" applyFill="1" applyBorder="1" applyAlignment="1">
      <alignment horizontal="center" vertical="center" wrapText="1"/>
    </xf>
    <xf numFmtId="0" fontId="5" fillId="0" borderId="0" xfId="0" applyFont="1" applyAlignment="1">
      <alignment horizontal="right" wrapText="1"/>
    </xf>
    <xf numFmtId="0" fontId="23" fillId="0" borderId="0" xfId="0" applyFont="1" applyAlignment="1">
      <alignment horizontal="left" wrapText="1"/>
    </xf>
    <xf numFmtId="0" fontId="24" fillId="0" borderId="0" xfId="0" applyFont="1" applyAlignment="1">
      <alignment horizontal="left" wrapText="1"/>
    </xf>
    <xf numFmtId="164" fontId="4" fillId="0" borderId="16" xfId="2" applyNumberFormat="1" applyFont="1" applyFill="1" applyBorder="1" applyAlignment="1">
      <alignment horizontal="center" vertical="center" wrapText="1"/>
    </xf>
    <xf numFmtId="164" fontId="4" fillId="0" borderId="13" xfId="2" applyNumberFormat="1" applyFont="1" applyFill="1" applyBorder="1" applyAlignment="1">
      <alignment horizontal="center" vertical="center" wrapText="1"/>
    </xf>
    <xf numFmtId="164" fontId="4" fillId="0" borderId="17" xfId="2" applyNumberFormat="1" applyFont="1" applyFill="1" applyBorder="1" applyAlignment="1">
      <alignment horizontal="center" vertical="center" wrapText="1"/>
    </xf>
    <xf numFmtId="164" fontId="20" fillId="0" borderId="15" xfId="2" applyNumberFormat="1" applyFont="1" applyFill="1" applyBorder="1" applyAlignment="1">
      <alignment horizontal="center" vertical="center" wrapText="1"/>
    </xf>
    <xf numFmtId="164" fontId="20" fillId="0" borderId="20" xfId="2" applyNumberFormat="1" applyFont="1" applyFill="1" applyBorder="1" applyAlignment="1">
      <alignment horizontal="center" vertical="center" wrapText="1"/>
    </xf>
    <xf numFmtId="164" fontId="4" fillId="0" borderId="14" xfId="2" applyNumberFormat="1" applyFont="1" applyFill="1" applyBorder="1" applyAlignment="1">
      <alignment horizontal="center" vertical="center" wrapText="1"/>
    </xf>
    <xf numFmtId="164" fontId="4" fillId="0" borderId="19" xfId="2" applyNumberFormat="1" applyFont="1" applyFill="1" applyBorder="1" applyAlignment="1">
      <alignment horizontal="center" vertical="center" wrapText="1"/>
    </xf>
    <xf numFmtId="0" fontId="27" fillId="0" borderId="0" xfId="0" applyFont="1" applyAlignment="1">
      <alignment horizontal="center" vertical="center"/>
    </xf>
    <xf numFmtId="0" fontId="4" fillId="0" borderId="0" xfId="0" applyFont="1" applyAlignment="1">
      <alignment horizontal="center" wrapText="1"/>
    </xf>
    <xf numFmtId="0" fontId="52" fillId="0" borderId="0" xfId="0" applyFont="1" applyAlignment="1">
      <alignment horizontal="center" vertical="center"/>
    </xf>
    <xf numFmtId="0" fontId="38" fillId="0" borderId="13" xfId="0" applyFont="1" applyBorder="1" applyAlignment="1">
      <alignment horizontal="right" wrapText="1"/>
    </xf>
    <xf numFmtId="0" fontId="30" fillId="0" borderId="0" xfId="0" applyFont="1" applyAlignment="1">
      <alignment horizontal="center" vertical="center" wrapText="1"/>
    </xf>
    <xf numFmtId="164" fontId="30" fillId="0" borderId="15" xfId="2" applyNumberFormat="1" applyFont="1" applyFill="1" applyBorder="1" applyAlignment="1">
      <alignment horizontal="center" vertical="center" wrapText="1"/>
    </xf>
    <xf numFmtId="164" fontId="30" fillId="0" borderId="20" xfId="2" applyNumberFormat="1" applyFont="1" applyFill="1" applyBorder="1" applyAlignment="1">
      <alignment horizontal="center" vertical="center" wrapText="1"/>
    </xf>
    <xf numFmtId="0" fontId="30" fillId="0" borderId="0" xfId="0" applyFont="1" applyAlignment="1">
      <alignment horizontal="left"/>
    </xf>
    <xf numFmtId="0" fontId="50" fillId="0" borderId="0" xfId="0" applyFont="1" applyAlignment="1">
      <alignment horizontal="center" vertical="center"/>
    </xf>
    <xf numFmtId="0" fontId="39" fillId="0" borderId="0" xfId="0" applyFont="1" applyAlignment="1">
      <alignment horizontal="center" vertical="center"/>
    </xf>
    <xf numFmtId="164" fontId="30" fillId="0" borderId="14" xfId="2" applyNumberFormat="1" applyFont="1" applyFill="1" applyBorder="1" applyAlignment="1">
      <alignment horizontal="center" vertical="center" wrapText="1"/>
    </xf>
    <xf numFmtId="164" fontId="30" fillId="0" borderId="19" xfId="2" applyNumberFormat="1" applyFont="1" applyFill="1" applyBorder="1" applyAlignment="1">
      <alignment horizontal="center" vertical="center" wrapText="1"/>
    </xf>
    <xf numFmtId="164" fontId="58" fillId="0" borderId="15" xfId="2" applyNumberFormat="1" applyFont="1" applyBorder="1" applyAlignment="1">
      <alignment horizontal="center" vertical="center" wrapText="1"/>
    </xf>
    <xf numFmtId="164" fontId="58" fillId="0" borderId="20" xfId="2" applyNumberFormat="1" applyFont="1" applyBorder="1" applyAlignment="1">
      <alignment horizontal="center" vertical="center" wrapText="1"/>
    </xf>
    <xf numFmtId="164" fontId="30" fillId="0" borderId="18" xfId="2" applyNumberFormat="1" applyFont="1" applyFill="1" applyBorder="1" applyAlignment="1">
      <alignment horizontal="center" vertical="center" wrapText="1"/>
    </xf>
    <xf numFmtId="164" fontId="30" fillId="0" borderId="22" xfId="2" applyNumberFormat="1" applyFont="1" applyFill="1" applyBorder="1" applyAlignment="1">
      <alignment horizontal="center" vertical="center" wrapText="1"/>
    </xf>
    <xf numFmtId="0" fontId="3" fillId="0" borderId="0" xfId="0" applyFont="1" applyAlignment="1">
      <alignment horizontal="center"/>
    </xf>
    <xf numFmtId="164" fontId="4" fillId="0" borderId="18" xfId="2" applyNumberFormat="1" applyFont="1" applyBorder="1" applyAlignment="1">
      <alignment horizontal="center" vertical="center" wrapText="1"/>
    </xf>
    <xf numFmtId="164" fontId="4" fillId="0" borderId="22" xfId="2" applyNumberFormat="1" applyFont="1" applyBorder="1" applyAlignment="1">
      <alignment horizontal="center" vertical="center" wrapText="1"/>
    </xf>
    <xf numFmtId="0" fontId="59" fillId="15" borderId="50" xfId="0" applyFont="1" applyFill="1" applyBorder="1" applyAlignment="1">
      <alignment horizontal="center" vertical="center" wrapText="1"/>
    </xf>
    <xf numFmtId="0" fontId="59" fillId="15" borderId="51" xfId="0" applyFont="1" applyFill="1" applyBorder="1" applyAlignment="1">
      <alignment horizontal="center" vertical="center" wrapText="1"/>
    </xf>
    <xf numFmtId="0" fontId="31" fillId="0" borderId="0" xfId="0" applyFont="1" applyAlignment="1">
      <alignment horizontal="left" wrapText="1"/>
    </xf>
    <xf numFmtId="164" fontId="4" fillId="0" borderId="14" xfId="2" applyNumberFormat="1" applyFont="1" applyBorder="1" applyAlignment="1">
      <alignment horizontal="center" vertical="center" wrapText="1"/>
    </xf>
    <xf numFmtId="164" fontId="4" fillId="0" borderId="38" xfId="2" applyNumberFormat="1" applyFont="1" applyBorder="1" applyAlignment="1">
      <alignment horizontal="center" vertical="center" wrapText="1"/>
    </xf>
    <xf numFmtId="164" fontId="4" fillId="0" borderId="15" xfId="2" applyNumberFormat="1" applyFont="1" applyBorder="1" applyAlignment="1">
      <alignment horizontal="center" vertical="center" wrapText="1"/>
    </xf>
    <xf numFmtId="164" fontId="4" fillId="0" borderId="21" xfId="2" applyNumberFormat="1" applyFont="1" applyBorder="1" applyAlignment="1">
      <alignment horizontal="center" vertical="center" wrapText="1"/>
    </xf>
    <xf numFmtId="164" fontId="4" fillId="0" borderId="2" xfId="2" applyNumberFormat="1" applyFont="1" applyBorder="1" applyAlignment="1">
      <alignment horizontal="center" vertical="center" wrapText="1"/>
    </xf>
    <xf numFmtId="0" fontId="5" fillId="0" borderId="0" xfId="0" applyFont="1" applyAlignment="1">
      <alignment horizontal="right"/>
    </xf>
    <xf numFmtId="0" fontId="29" fillId="0" borderId="0" xfId="0" applyFont="1" applyAlignment="1">
      <alignment horizontal="center"/>
    </xf>
    <xf numFmtId="0" fontId="18" fillId="0" borderId="0" xfId="0" applyFont="1" applyAlignment="1">
      <alignment horizontal="center" wrapText="1"/>
    </xf>
    <xf numFmtId="0" fontId="7" fillId="0" borderId="96" xfId="0" applyFont="1" applyBorder="1" applyAlignment="1">
      <alignment horizontal="center" vertical="center" wrapText="1"/>
    </xf>
    <xf numFmtId="0" fontId="7" fillId="0" borderId="97" xfId="0" applyFont="1" applyBorder="1" applyAlignment="1">
      <alignment horizontal="center" vertical="center" wrapText="1"/>
    </xf>
    <xf numFmtId="0" fontId="4" fillId="0" borderId="0" xfId="0" applyFont="1" applyAlignment="1">
      <alignment horizontal="left" vertical="center" wrapText="1"/>
    </xf>
    <xf numFmtId="0" fontId="30" fillId="0" borderId="0" xfId="0" quotePrefix="1" applyFont="1" applyAlignment="1">
      <alignment vertical="center" wrapText="1"/>
    </xf>
    <xf numFmtId="0" fontId="30" fillId="0" borderId="0" xfId="0" applyFont="1" applyAlignment="1">
      <alignment vertical="center" wrapText="1"/>
    </xf>
    <xf numFmtId="0" fontId="29" fillId="0" borderId="0" xfId="0" applyFont="1" applyAlignment="1">
      <alignment horizontal="left" vertical="center"/>
    </xf>
    <xf numFmtId="0" fontId="4" fillId="0" borderId="0" xfId="0" applyFont="1" applyAlignment="1">
      <alignment horizontal="left" vertical="center"/>
    </xf>
    <xf numFmtId="0" fontId="7" fillId="0" borderId="50" xfId="0" applyFont="1" applyBorder="1" applyAlignment="1">
      <alignment horizontal="center" vertical="center" wrapText="1"/>
    </xf>
    <xf numFmtId="0" fontId="7" fillId="0" borderId="51" xfId="0" applyFont="1" applyBorder="1" applyAlignment="1">
      <alignment horizontal="center" vertical="center" wrapText="1"/>
    </xf>
    <xf numFmtId="0" fontId="3" fillId="0" borderId="0" xfId="0" applyFont="1" applyAlignment="1">
      <alignment horizontal="left" vertical="center" wrapText="1"/>
    </xf>
    <xf numFmtId="0" fontId="7" fillId="0" borderId="61" xfId="0" applyFont="1" applyBorder="1" applyAlignment="1">
      <alignment horizontal="center" vertical="center" wrapText="1"/>
    </xf>
    <xf numFmtId="0" fontId="7" fillId="0" borderId="62" xfId="0" applyFont="1" applyBorder="1" applyAlignment="1">
      <alignment horizontal="center" vertical="center" wrapText="1"/>
    </xf>
    <xf numFmtId="0" fontId="5" fillId="0" borderId="0" xfId="0" applyFont="1" applyAlignment="1">
      <alignment horizontal="right" vertical="center" wrapText="1"/>
    </xf>
    <xf numFmtId="0" fontId="44" fillId="0" borderId="0" xfId="7" applyFont="1" applyAlignment="1">
      <alignment horizontal="center"/>
    </xf>
    <xf numFmtId="0" fontId="53" fillId="0" borderId="0" xfId="7" applyFont="1" applyAlignment="1">
      <alignment horizontal="center"/>
    </xf>
    <xf numFmtId="0" fontId="54" fillId="0" borderId="0" xfId="7" applyFont="1" applyAlignment="1">
      <alignment horizontal="center" vertical="center"/>
    </xf>
    <xf numFmtId="0" fontId="53" fillId="0" borderId="79" xfId="7" applyFont="1" applyBorder="1" applyAlignment="1">
      <alignment horizontal="left" vertical="center"/>
    </xf>
    <xf numFmtId="0" fontId="53" fillId="0" borderId="80" xfId="7" applyFont="1" applyBorder="1" applyAlignment="1">
      <alignment horizontal="left" vertical="center"/>
    </xf>
    <xf numFmtId="0" fontId="53" fillId="0" borderId="81" xfId="7" applyFont="1" applyBorder="1" applyAlignment="1">
      <alignment horizontal="left" vertical="center"/>
    </xf>
    <xf numFmtId="0" fontId="35" fillId="0" borderId="79" xfId="7" applyFont="1" applyBorder="1" applyAlignment="1">
      <alignment horizontal="center" vertical="center" wrapText="1"/>
    </xf>
    <xf numFmtId="0" fontId="35" fillId="0" borderId="81" xfId="7" applyFont="1" applyBorder="1" applyAlignment="1">
      <alignment horizontal="center" vertical="center" wrapText="1"/>
    </xf>
    <xf numFmtId="0" fontId="35" fillId="0" borderId="24" xfId="7" applyFont="1" applyBorder="1" applyAlignment="1">
      <alignment horizontal="center" vertical="center"/>
    </xf>
    <xf numFmtId="0" fontId="35" fillId="0" borderId="24" xfId="7" applyFont="1" applyBorder="1" applyAlignment="1">
      <alignment horizontal="center" vertical="center" wrapText="1"/>
    </xf>
    <xf numFmtId="0" fontId="36" fillId="0" borderId="76" xfId="7" applyFont="1" applyBorder="1" applyAlignment="1">
      <alignment horizontal="center" vertical="center"/>
    </xf>
    <xf numFmtId="0" fontId="35" fillId="0" borderId="76" xfId="7" applyFont="1" applyBorder="1" applyAlignment="1">
      <alignment horizontal="center" vertical="center"/>
    </xf>
    <xf numFmtId="0" fontId="36" fillId="0" borderId="82" xfId="7" applyFont="1" applyBorder="1" applyAlignment="1">
      <alignment horizontal="center" vertical="center"/>
    </xf>
    <xf numFmtId="0" fontId="36" fillId="0" borderId="83" xfId="7" applyFont="1" applyBorder="1" applyAlignment="1">
      <alignment horizontal="center" vertical="center"/>
    </xf>
    <xf numFmtId="0" fontId="36" fillId="0" borderId="84" xfId="7" applyFont="1" applyBorder="1" applyAlignment="1">
      <alignment horizontal="center" vertical="center"/>
    </xf>
    <xf numFmtId="0" fontId="36" fillId="0" borderId="77" xfId="7" applyFont="1" applyBorder="1" applyAlignment="1">
      <alignment horizontal="center" vertical="center"/>
    </xf>
    <xf numFmtId="0" fontId="36" fillId="0" borderId="85" xfId="7" applyFont="1" applyBorder="1" applyAlignment="1">
      <alignment horizontal="center" vertical="center"/>
    </xf>
    <xf numFmtId="0" fontId="36" fillId="0" borderId="86" xfId="7" applyFont="1" applyBorder="1" applyAlignment="1">
      <alignment horizontal="center" vertical="center"/>
    </xf>
    <xf numFmtId="0" fontId="35" fillId="0" borderId="85" xfId="7" applyFont="1" applyBorder="1" applyAlignment="1">
      <alignment horizontal="center" vertical="center"/>
    </xf>
    <xf numFmtId="0" fontId="35" fillId="0" borderId="87" xfId="7" applyFont="1" applyBorder="1" applyAlignment="1">
      <alignment horizontal="center" vertical="center"/>
    </xf>
    <xf numFmtId="0" fontId="35" fillId="0" borderId="86" xfId="7" applyFont="1" applyBorder="1" applyAlignment="1">
      <alignment horizontal="center" vertical="center"/>
    </xf>
    <xf numFmtId="0" fontId="36" fillId="0" borderId="87" xfId="7" applyFont="1" applyBorder="1" applyAlignment="1">
      <alignment horizontal="center" vertical="center"/>
    </xf>
    <xf numFmtId="0" fontId="36" fillId="0" borderId="82" xfId="7" applyFont="1" applyBorder="1" applyAlignment="1">
      <alignment horizontal="center" vertical="center" wrapText="1"/>
    </xf>
    <xf numFmtId="0" fontId="36" fillId="0" borderId="84" xfId="7" applyFont="1" applyBorder="1" applyAlignment="1">
      <alignment horizontal="center" vertical="center" wrapText="1"/>
    </xf>
    <xf numFmtId="0" fontId="35" fillId="0" borderId="77" xfId="7" applyFont="1" applyBorder="1" applyAlignment="1">
      <alignment horizontal="center" vertical="center"/>
    </xf>
    <xf numFmtId="0" fontId="35" fillId="0" borderId="78" xfId="7" applyFont="1" applyBorder="1" applyAlignment="1">
      <alignment horizontal="center" vertical="center"/>
    </xf>
    <xf numFmtId="0" fontId="36" fillId="0" borderId="88" xfId="7" applyFont="1" applyBorder="1" applyAlignment="1">
      <alignment horizontal="center" vertical="center"/>
    </xf>
    <xf numFmtId="0" fontId="36" fillId="0" borderId="89" xfId="7" applyFont="1" applyBorder="1" applyAlignment="1">
      <alignment horizontal="center" vertical="center"/>
    </xf>
    <xf numFmtId="0" fontId="36" fillId="0" borderId="90" xfId="7" applyFont="1" applyBorder="1" applyAlignment="1">
      <alignment horizontal="center" vertical="center"/>
    </xf>
    <xf numFmtId="0" fontId="53" fillId="0" borderId="79" xfId="7" applyFont="1" applyBorder="1" applyAlignment="1">
      <alignment horizontal="left" vertical="center" wrapText="1"/>
    </xf>
    <xf numFmtId="0" fontId="53" fillId="0" borderId="80" xfId="7" applyFont="1" applyBorder="1" applyAlignment="1">
      <alignment horizontal="left" vertical="center" wrapText="1"/>
    </xf>
    <xf numFmtId="0" fontId="53" fillId="0" borderId="81" xfId="7" applyFont="1" applyBorder="1" applyAlignment="1">
      <alignment horizontal="left" vertical="center" wrapText="1"/>
    </xf>
    <xf numFmtId="0" fontId="35" fillId="0" borderId="75" xfId="7" applyFont="1" applyBorder="1" applyAlignment="1">
      <alignment horizontal="center" vertical="center" wrapText="1"/>
    </xf>
    <xf numFmtId="0" fontId="35" fillId="0" borderId="20" xfId="7" applyFont="1" applyBorder="1" applyAlignment="1">
      <alignment horizontal="center" vertical="center" wrapText="1"/>
    </xf>
    <xf numFmtId="0" fontId="35" fillId="0" borderId="91" xfId="7" applyFont="1" applyBorder="1" applyAlignment="1">
      <alignment horizontal="center" vertical="center" wrapText="1"/>
    </xf>
    <xf numFmtId="0" fontId="35" fillId="0" borderId="92" xfId="7" applyFont="1" applyBorder="1" applyAlignment="1">
      <alignment horizontal="center" vertical="center" wrapText="1"/>
    </xf>
    <xf numFmtId="0" fontId="35" fillId="0" borderId="93" xfId="7" applyFont="1" applyBorder="1" applyAlignment="1">
      <alignment horizontal="center" vertical="center" wrapText="1"/>
    </xf>
    <xf numFmtId="0" fontId="35" fillId="0" borderId="94" xfId="7" applyFont="1" applyBorder="1" applyAlignment="1">
      <alignment horizontal="center" vertical="center" wrapText="1"/>
    </xf>
    <xf numFmtId="0" fontId="35" fillId="0" borderId="39" xfId="7" applyFont="1" applyBorder="1" applyAlignment="1">
      <alignment horizontal="center" vertical="center" wrapText="1"/>
    </xf>
    <xf numFmtId="0" fontId="36" fillId="0" borderId="88" xfId="7" applyFont="1" applyBorder="1" applyAlignment="1">
      <alignment horizontal="center" vertical="center" wrapText="1"/>
    </xf>
    <xf numFmtId="0" fontId="36" fillId="0" borderId="90" xfId="7" applyFont="1" applyBorder="1" applyAlignment="1">
      <alignment horizontal="center" vertical="center" wrapText="1"/>
    </xf>
    <xf numFmtId="0" fontId="35" fillId="0" borderId="78" xfId="7" applyFont="1" applyBorder="1" applyAlignment="1">
      <alignment horizontal="center" vertical="center" wrapText="1"/>
    </xf>
    <xf numFmtId="0" fontId="37" fillId="0" borderId="24" xfId="7" applyFont="1" applyBorder="1" applyAlignment="1">
      <alignment horizontal="center" vertical="center" wrapText="1"/>
    </xf>
    <xf numFmtId="0" fontId="53" fillId="0" borderId="24" xfId="7" applyFont="1" applyBorder="1" applyAlignment="1">
      <alignment horizontal="left" vertical="center" wrapText="1"/>
    </xf>
    <xf numFmtId="0" fontId="35" fillId="0" borderId="88" xfId="7" applyFont="1" applyBorder="1" applyAlignment="1">
      <alignment horizontal="center" vertical="center" wrapText="1"/>
    </xf>
    <xf numFmtId="0" fontId="35" fillId="0" borderId="89" xfId="7" applyFont="1" applyBorder="1" applyAlignment="1">
      <alignment horizontal="center" vertical="center" wrapText="1"/>
    </xf>
    <xf numFmtId="0" fontId="35" fillId="0" borderId="90" xfId="7" applyFont="1" applyBorder="1" applyAlignment="1">
      <alignment horizontal="center" vertical="center" wrapText="1"/>
    </xf>
    <xf numFmtId="0" fontId="55" fillId="0" borderId="95" xfId="7" applyFont="1" applyBorder="1" applyAlignment="1">
      <alignment horizontal="center" wrapText="1"/>
    </xf>
    <xf numFmtId="0" fontId="44" fillId="0" borderId="95" xfId="7" applyFont="1" applyBorder="1" applyAlignment="1">
      <alignment horizontal="center" wrapText="1"/>
    </xf>
    <xf numFmtId="0" fontId="53" fillId="0" borderId="0" xfId="7" applyFont="1" applyAlignment="1">
      <alignment horizontal="center" wrapText="1"/>
    </xf>
    <xf numFmtId="0" fontId="44" fillId="0" borderId="0" xfId="7" applyFont="1" applyAlignment="1">
      <alignment horizontal="center" wrapText="1"/>
    </xf>
    <xf numFmtId="0" fontId="10" fillId="0" borderId="0" xfId="7" applyFont="1" applyAlignment="1">
      <alignment horizontal="left" vertical="center" wrapText="1"/>
    </xf>
    <xf numFmtId="0" fontId="35" fillId="0" borderId="76" xfId="7" applyFont="1" applyBorder="1" applyAlignment="1">
      <alignment horizontal="center" vertical="center" wrapText="1"/>
    </xf>
    <xf numFmtId="0" fontId="36" fillId="0" borderId="76" xfId="7" applyFont="1" applyBorder="1" applyAlignment="1">
      <alignment horizontal="left" vertical="center" wrapText="1"/>
    </xf>
    <xf numFmtId="0" fontId="35" fillId="0" borderId="77" xfId="7" applyFont="1" applyBorder="1" applyAlignment="1">
      <alignment horizontal="center" vertical="center" wrapText="1"/>
    </xf>
    <xf numFmtId="0" fontId="36" fillId="0" borderId="77" xfId="7" applyFont="1" applyBorder="1" applyAlignment="1">
      <alignment horizontal="left" vertical="center" wrapText="1"/>
    </xf>
    <xf numFmtId="0" fontId="36" fillId="0" borderId="78" xfId="7" applyFont="1" applyBorder="1" applyAlignment="1">
      <alignment horizontal="left" vertical="center" wrapText="1"/>
    </xf>
    <xf numFmtId="0" fontId="38" fillId="0" borderId="0" xfId="0" applyFont="1" applyAlignment="1">
      <alignment horizontal="right" vertical="center"/>
    </xf>
    <xf numFmtId="0" fontId="30" fillId="0" borderId="0" xfId="0" applyFont="1" applyAlignment="1">
      <alignment horizontal="center" vertical="center"/>
    </xf>
    <xf numFmtId="0" fontId="9" fillId="0" borderId="0" xfId="0" applyFont="1" applyAlignment="1">
      <alignment horizontal="left" vertical="center" wrapText="1"/>
    </xf>
    <xf numFmtId="0" fontId="13" fillId="0" borderId="0" xfId="8" applyFont="1" applyAlignment="1">
      <alignment horizontal="center" vertical="center" wrapText="1"/>
    </xf>
    <xf numFmtId="0" fontId="36" fillId="0" borderId="0" xfId="8" applyFont="1" applyAlignment="1">
      <alignment horizontal="center" vertical="center"/>
    </xf>
    <xf numFmtId="0" fontId="35" fillId="0" borderId="0" xfId="8" applyFont="1" applyAlignment="1">
      <alignment horizontal="center" vertical="center" wrapText="1"/>
    </xf>
    <xf numFmtId="0" fontId="35" fillId="0" borderId="0" xfId="8" applyFont="1" applyAlignment="1">
      <alignment horizontal="center" vertical="center"/>
    </xf>
    <xf numFmtId="0" fontId="36" fillId="0" borderId="108" xfId="8" applyFont="1" applyBorder="1" applyAlignment="1">
      <alignment horizontal="center" vertical="center"/>
    </xf>
    <xf numFmtId="0" fontId="36" fillId="0" borderId="109" xfId="8" applyFont="1" applyBorder="1" applyAlignment="1">
      <alignment horizontal="center" vertical="center"/>
    </xf>
    <xf numFmtId="0" fontId="36" fillId="0" borderId="110" xfId="8" applyFont="1" applyBorder="1" applyAlignment="1">
      <alignment horizontal="center" vertical="center"/>
    </xf>
    <xf numFmtId="0" fontId="46" fillId="0" borderId="0" xfId="8" applyFont="1" applyAlignment="1">
      <alignment horizontal="center" wrapText="1"/>
    </xf>
    <xf numFmtId="0" fontId="35" fillId="0" borderId="0" xfId="8" applyFont="1" applyAlignment="1">
      <alignment horizontal="center" wrapText="1"/>
    </xf>
    <xf numFmtId="0" fontId="13" fillId="0" borderId="0" xfId="0" applyFont="1" applyAlignment="1">
      <alignment horizontal="left" vertical="center" wrapText="1"/>
    </xf>
    <xf numFmtId="0" fontId="13" fillId="0" borderId="0" xfId="0" applyFont="1" applyAlignment="1">
      <alignment horizontal="center" vertical="center"/>
    </xf>
    <xf numFmtId="0" fontId="18" fillId="0" borderId="0" xfId="0" applyFont="1" applyAlignment="1">
      <alignment horizontal="center" vertical="center" wrapText="1"/>
    </xf>
    <xf numFmtId="0" fontId="40" fillId="0" borderId="0" xfId="0" applyFont="1" applyAlignment="1">
      <alignment horizontal="center" vertical="center"/>
    </xf>
    <xf numFmtId="0" fontId="40" fillId="0" borderId="0" xfId="0" applyFont="1" applyAlignment="1">
      <alignment horizontal="right" vertical="center" wrapText="1"/>
    </xf>
    <xf numFmtId="0" fontId="13" fillId="0" borderId="40" xfId="0" applyFont="1" applyBorder="1" applyAlignment="1">
      <alignment horizontal="center" vertical="center" wrapText="1"/>
    </xf>
    <xf numFmtId="0" fontId="13" fillId="0" borderId="48" xfId="0" applyFont="1" applyBorder="1" applyAlignment="1">
      <alignment horizontal="center" vertical="center" wrapText="1"/>
    </xf>
    <xf numFmtId="0" fontId="13" fillId="0" borderId="31"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31" xfId="0" applyFont="1" applyBorder="1" applyAlignment="1">
      <alignment horizontal="center" vertical="center" wrapText="1"/>
    </xf>
    <xf numFmtId="0" fontId="18" fillId="0" borderId="75" xfId="0" applyFont="1" applyBorder="1" applyAlignment="1">
      <alignment horizontal="center" vertical="center"/>
    </xf>
    <xf numFmtId="0" fontId="18" fillId="0" borderId="21" xfId="0" applyFont="1" applyBorder="1" applyAlignment="1">
      <alignment horizontal="center" vertical="center"/>
    </xf>
    <xf numFmtId="0" fontId="18" fillId="0" borderId="20" xfId="0" applyFont="1" applyBorder="1" applyAlignment="1">
      <alignment horizontal="center" vertical="center"/>
    </xf>
    <xf numFmtId="0" fontId="13" fillId="16" borderId="24" xfId="0" applyFont="1" applyFill="1" applyBorder="1" applyAlignment="1">
      <alignment horizontal="center" vertical="center" wrapText="1"/>
    </xf>
    <xf numFmtId="0" fontId="18" fillId="19" borderId="15" xfId="0" applyFont="1" applyFill="1" applyBorder="1" applyAlignment="1">
      <alignment horizontal="center" vertical="center" wrapText="1"/>
    </xf>
    <xf numFmtId="0" fontId="18" fillId="19" borderId="21" xfId="0" applyFont="1" applyFill="1" applyBorder="1" applyAlignment="1">
      <alignment horizontal="center" vertical="center" wrapText="1"/>
    </xf>
    <xf numFmtId="0" fontId="18" fillId="19" borderId="20" xfId="0" applyFont="1" applyFill="1" applyBorder="1" applyAlignment="1">
      <alignment horizontal="center" vertical="center" wrapText="1"/>
    </xf>
    <xf numFmtId="0" fontId="18" fillId="0" borderId="18" xfId="0" applyFont="1" applyBorder="1" applyAlignment="1">
      <alignment horizontal="center" vertical="center"/>
    </xf>
    <xf numFmtId="0" fontId="18" fillId="0" borderId="48" xfId="0" applyFont="1" applyBorder="1" applyAlignment="1">
      <alignment horizontal="center" vertical="center"/>
    </xf>
    <xf numFmtId="0" fontId="18" fillId="0" borderId="22" xfId="0" applyFont="1" applyBorder="1" applyAlignment="1">
      <alignment horizontal="center" vertical="center"/>
    </xf>
    <xf numFmtId="0" fontId="18" fillId="16" borderId="75" xfId="0" applyFont="1" applyFill="1" applyBorder="1" applyAlignment="1">
      <alignment horizontal="center" vertical="center" wrapText="1"/>
    </xf>
    <xf numFmtId="0" fontId="18" fillId="16" borderId="20" xfId="0" applyFont="1" applyFill="1" applyBorder="1" applyAlignment="1">
      <alignment horizontal="center" vertical="center" wrapText="1"/>
    </xf>
    <xf numFmtId="0" fontId="56" fillId="16" borderId="79" xfId="0" applyFont="1" applyFill="1" applyBorder="1" applyAlignment="1">
      <alignment horizontal="center" vertical="center" wrapText="1"/>
    </xf>
    <xf numFmtId="0" fontId="56" fillId="16" borderId="80" xfId="0" applyFont="1" applyFill="1" applyBorder="1" applyAlignment="1">
      <alignment horizontal="center" vertical="center" wrapText="1"/>
    </xf>
    <xf numFmtId="0" fontId="56" fillId="16" borderId="81" xfId="0" applyFont="1" applyFill="1" applyBorder="1" applyAlignment="1">
      <alignment horizontal="center" vertical="center" wrapText="1"/>
    </xf>
    <xf numFmtId="0" fontId="18" fillId="9" borderId="79" xfId="0" applyFont="1" applyFill="1" applyBorder="1" applyAlignment="1">
      <alignment horizontal="center" vertical="center" wrapText="1"/>
    </xf>
    <xf numFmtId="0" fontId="18" fillId="9" borderId="80" xfId="0" applyFont="1" applyFill="1" applyBorder="1" applyAlignment="1">
      <alignment horizontal="center" vertical="center" wrapText="1"/>
    </xf>
    <xf numFmtId="0" fontId="18" fillId="9" borderId="81" xfId="0" applyFont="1" applyFill="1" applyBorder="1" applyAlignment="1">
      <alignment horizontal="center" vertical="center" wrapText="1"/>
    </xf>
    <xf numFmtId="0" fontId="18" fillId="9" borderId="75" xfId="0" applyFont="1" applyFill="1" applyBorder="1" applyAlignment="1">
      <alignment horizontal="center" vertical="center" wrapText="1"/>
    </xf>
    <xf numFmtId="0" fontId="18" fillId="9" borderId="20" xfId="0" applyFont="1" applyFill="1" applyBorder="1" applyAlignment="1">
      <alignment horizontal="center" vertical="center" wrapText="1"/>
    </xf>
    <xf numFmtId="0" fontId="13" fillId="9" borderId="24" xfId="0" applyFont="1" applyFill="1" applyBorder="1" applyAlignment="1">
      <alignment horizontal="center" vertical="center" wrapText="1"/>
    </xf>
    <xf numFmtId="0" fontId="13" fillId="0" borderId="0" xfId="0" applyFont="1" applyFill="1" applyAlignment="1">
      <alignment horizontal="center" vertical="center"/>
    </xf>
    <xf numFmtId="0" fontId="18" fillId="0" borderId="0" xfId="0" applyFont="1" applyFill="1" applyAlignment="1">
      <alignment horizontal="center" vertical="center"/>
    </xf>
    <xf numFmtId="0" fontId="50" fillId="0" borderId="0" xfId="0" applyFont="1" applyFill="1" applyAlignment="1">
      <alignment horizontal="center" vertical="center"/>
    </xf>
    <xf numFmtId="0" fontId="18" fillId="0" borderId="24" xfId="0" applyFont="1" applyFill="1" applyBorder="1" applyAlignment="1">
      <alignment horizontal="center" vertical="center"/>
    </xf>
    <xf numFmtId="0" fontId="13" fillId="0" borderId="24" xfId="0" applyFont="1" applyFill="1" applyBorder="1" applyAlignment="1">
      <alignment horizontal="center" vertical="center" wrapText="1"/>
    </xf>
    <xf numFmtId="0" fontId="40" fillId="0" borderId="0" xfId="0" applyFont="1" applyFill="1" applyAlignment="1">
      <alignment horizontal="right" vertical="center" wrapText="1"/>
    </xf>
    <xf numFmtId="0" fontId="13" fillId="0" borderId="0" xfId="0" applyFont="1" applyFill="1" applyAlignment="1">
      <alignment horizontal="left" vertical="center" wrapText="1"/>
    </xf>
    <xf numFmtId="0" fontId="9" fillId="0" borderId="0" xfId="0" applyFont="1" applyFill="1" applyAlignment="1">
      <alignment horizontal="left" vertical="center" wrapText="1"/>
    </xf>
    <xf numFmtId="0" fontId="18" fillId="17" borderId="24" xfId="0" applyFont="1" applyFill="1" applyBorder="1" applyAlignment="1">
      <alignment horizontal="center" vertical="center" wrapText="1"/>
    </xf>
    <xf numFmtId="0" fontId="18" fillId="18" borderId="24" xfId="0" applyFont="1" applyFill="1" applyBorder="1" applyAlignment="1">
      <alignment horizontal="center" vertical="center" wrapText="1"/>
    </xf>
    <xf numFmtId="0" fontId="18" fillId="15" borderId="79" xfId="0" applyFont="1" applyFill="1" applyBorder="1" applyAlignment="1">
      <alignment horizontal="center" vertical="center" wrapText="1"/>
    </xf>
    <xf numFmtId="0" fontId="18" fillId="15" borderId="80" xfId="0" applyFont="1" applyFill="1" applyBorder="1" applyAlignment="1">
      <alignment horizontal="center" vertical="center" wrapText="1"/>
    </xf>
    <xf numFmtId="0" fontId="18" fillId="15" borderId="81" xfId="0" applyFont="1" applyFill="1" applyBorder="1" applyAlignment="1">
      <alignment horizontal="center" vertical="center" wrapText="1"/>
    </xf>
    <xf numFmtId="0" fontId="56" fillId="0" borderId="0" xfId="0" applyFont="1" applyAlignment="1">
      <alignment horizontal="center" vertical="center"/>
    </xf>
    <xf numFmtId="0" fontId="47" fillId="0" borderId="0" xfId="0" applyFont="1" applyAlignment="1">
      <alignment horizontal="left" vertical="top" wrapText="1"/>
    </xf>
    <xf numFmtId="0" fontId="36" fillId="0" borderId="0" xfId="0" applyFont="1" applyAlignment="1">
      <alignment horizontal="left" vertical="center"/>
    </xf>
    <xf numFmtId="0" fontId="35" fillId="0" borderId="0" xfId="0" applyFont="1" applyAlignment="1">
      <alignment horizontal="right" vertical="center"/>
    </xf>
    <xf numFmtId="0" fontId="35" fillId="0" borderId="0" xfId="0" applyFont="1" applyAlignment="1">
      <alignment horizontal="left" vertical="center"/>
    </xf>
    <xf numFmtId="0" fontId="35" fillId="0" borderId="0" xfId="0" applyFont="1" applyAlignment="1">
      <alignment horizontal="center" vertical="center"/>
    </xf>
    <xf numFmtId="0" fontId="46" fillId="0" borderId="53" xfId="0" applyFont="1" applyBorder="1" applyAlignment="1">
      <alignment horizontal="right" vertical="center"/>
    </xf>
    <xf numFmtId="0" fontId="8" fillId="0" borderId="0" xfId="0" applyFont="1" applyAlignment="1">
      <alignment horizontal="center"/>
    </xf>
    <xf numFmtId="0" fontId="8" fillId="0" borderId="0" xfId="0" applyFont="1" applyAlignment="1">
      <alignment horizontal="center" wrapText="1"/>
    </xf>
    <xf numFmtId="0" fontId="46" fillId="0" borderId="0" xfId="0" applyFont="1" applyAlignment="1">
      <alignment horizontal="right" vertical="center"/>
    </xf>
    <xf numFmtId="0" fontId="46" fillId="0" borderId="0" xfId="0" applyFont="1" applyAlignment="1">
      <alignment horizontal="right" wrapText="1"/>
    </xf>
    <xf numFmtId="0" fontId="36" fillId="0" borderId="0" xfId="6" applyFont="1" applyAlignment="1">
      <alignment horizontal="center" wrapText="1"/>
    </xf>
    <xf numFmtId="0" fontId="35" fillId="0" borderId="0" xfId="6" applyFont="1" applyAlignment="1">
      <alignment horizontal="center" wrapText="1"/>
    </xf>
    <xf numFmtId="0" fontId="35" fillId="0" borderId="74" xfId="6" applyFont="1" applyBorder="1" applyAlignment="1">
      <alignment horizontal="center" vertical="center" wrapText="1"/>
    </xf>
  </cellXfs>
  <cellStyles count="9">
    <cellStyle name="Bình thường" xfId="0" builtinId="0"/>
    <cellStyle name="Comma 2" xfId="2" xr:uid="{DF5627FD-228C-474C-B10D-18348DE01E5B}"/>
    <cellStyle name="Dấu phẩy" xfId="1" builtinId="3"/>
    <cellStyle name="Normal 2" xfId="7" xr:uid="{0410CAA8-8E31-48E2-96C5-A0563DE4A3AB}"/>
    <cellStyle name="Normal 2 2" xfId="6" xr:uid="{76B250C2-412A-41FD-BC8C-90B24ED33BA4}"/>
    <cellStyle name="Normal 3" xfId="8" xr:uid="{60D7B889-2ADA-4DDE-99C7-8ACD27D7136A}"/>
    <cellStyle name="Normal 5" xfId="3" xr:uid="{9E1DDD34-61C2-44A6-8D20-30D921FA4445}"/>
    <cellStyle name="Normal 6" xfId="4" xr:uid="{BC5EEADE-BFD6-4850-82B8-5E2A6C90BC83}"/>
    <cellStyle name="Normal 8" xfId="5" xr:uid="{77078AD8-E79C-4B87-B812-198A9981FBA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2</xdr:col>
      <xdr:colOff>2881</xdr:colOff>
      <xdr:row>4</xdr:row>
      <xdr:rowOff>29935</xdr:rowOff>
    </xdr:from>
    <xdr:to>
      <xdr:col>3</xdr:col>
      <xdr:colOff>499144</xdr:colOff>
      <xdr:row>4</xdr:row>
      <xdr:rowOff>29935</xdr:rowOff>
    </xdr:to>
    <xdr:sp macro="" textlink="">
      <xdr:nvSpPr>
        <xdr:cNvPr id="2" name="Line 3">
          <a:extLst>
            <a:ext uri="{FF2B5EF4-FFF2-40B4-BE49-F238E27FC236}">
              <a16:creationId xmlns:a16="http://schemas.microsoft.com/office/drawing/2014/main" id="{EFEB8A8F-868A-42FE-BBAD-FFCD33359889}"/>
            </a:ext>
          </a:extLst>
        </xdr:cNvPr>
        <xdr:cNvSpPr>
          <a:spLocks noChangeShapeType="1"/>
        </xdr:cNvSpPr>
      </xdr:nvSpPr>
      <xdr:spPr bwMode="auto">
        <a:xfrm>
          <a:off x="1412581" y="858610"/>
          <a:ext cx="112491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937261</xdr:colOff>
      <xdr:row>4</xdr:row>
      <xdr:rowOff>26974</xdr:rowOff>
    </xdr:from>
    <xdr:to>
      <xdr:col>10</xdr:col>
      <xdr:colOff>253013</xdr:colOff>
      <xdr:row>4</xdr:row>
      <xdr:rowOff>26974</xdr:rowOff>
    </xdr:to>
    <xdr:sp macro="" textlink="">
      <xdr:nvSpPr>
        <xdr:cNvPr id="3" name="Line 4">
          <a:extLst>
            <a:ext uri="{FF2B5EF4-FFF2-40B4-BE49-F238E27FC236}">
              <a16:creationId xmlns:a16="http://schemas.microsoft.com/office/drawing/2014/main" id="{2F612447-268A-4771-A6D6-80B0D9F58BB3}"/>
            </a:ext>
          </a:extLst>
        </xdr:cNvPr>
        <xdr:cNvSpPr>
          <a:spLocks noChangeShapeType="1"/>
        </xdr:cNvSpPr>
      </xdr:nvSpPr>
      <xdr:spPr bwMode="auto">
        <a:xfrm flipV="1">
          <a:off x="5766436" y="855649"/>
          <a:ext cx="195417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177800</xdr:colOff>
      <xdr:row>3</xdr:row>
      <xdr:rowOff>0</xdr:rowOff>
    </xdr:from>
    <xdr:to>
      <xdr:col>1</xdr:col>
      <xdr:colOff>993657</xdr:colOff>
      <xdr:row>3</xdr:row>
      <xdr:rowOff>0</xdr:rowOff>
    </xdr:to>
    <xdr:cxnSp macro="">
      <xdr:nvCxnSpPr>
        <xdr:cNvPr id="2" name="Straight Connector 1">
          <a:extLst>
            <a:ext uri="{FF2B5EF4-FFF2-40B4-BE49-F238E27FC236}">
              <a16:creationId xmlns:a16="http://schemas.microsoft.com/office/drawing/2014/main" id="{AA64D012-3961-46A3-8E84-9E4B734C592A}"/>
            </a:ext>
          </a:extLst>
        </xdr:cNvPr>
        <xdr:cNvCxnSpPr/>
      </xdr:nvCxnSpPr>
      <xdr:spPr>
        <a:xfrm>
          <a:off x="806450" y="622300"/>
          <a:ext cx="81585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0Tran%20Thu%20Lien/5.2.%20Ke%20hoach%20-%20Nam%20hoc%20hang%20nam/2022%20Ke%20hoach%20tai%20chinh/2.%20Bieu%20xay%20dung%20ke%20hoach%20nam%20t&#224;i%20ch&#237;nh%202022%20-%20xe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 kien"/>
      <sheetName val="Bieu1"/>
      <sheetName val="Bieu 1a - Quy mo CQ"/>
      <sheetName val="Bieu 1b - Quy mo SĐH"/>
      <sheetName val="Bieu 1c - Quy mo VLVH - TX"/>
      <sheetName val="Bieu 1d-THPT Chuyen"/>
      <sheetName val="Bieu 1e - THSP"/>
      <sheetName val="Bieu 2B -Gio day ĐH va tren DH"/>
      <sheetName val="Biểu 2B-Gio day duoi DH tu 1-6"/>
      <sheetName val="Biểu 2B-Gio day duoi DH tu 7-12"/>
      <sheetName val="Bieu3-Tong gio theo don vi"/>
      <sheetName val="Bieu4-Thuc hanh thi nghiem"/>
      <sheetName val="Bieu5-Nhu cau mua sam"/>
      <sheetName val="Bieu6-Dao tao Boi duong"/>
      <sheetName val="Bieu 7 NCKH"/>
      <sheetName val="Bieu 7b-xuat ban"/>
      <sheetName val="Bieu 8-BD ngan han"/>
      <sheetName val="Bieu 9-Tong hop thu"/>
      <sheetName val="Bieu 9 - Moi"/>
      <sheetName val="Bieu 10-Tong hop chi"/>
      <sheetName val="Bieu11-CL Thu-Chi"/>
      <sheetName val="Bieu 12-So lieu chi con nguoi"/>
    </sheetNames>
    <sheetDataSet>
      <sheetData sheetId="0"/>
      <sheetData sheetId="1"/>
      <sheetData sheetId="2"/>
      <sheetData sheetId="3"/>
      <sheetData sheetId="4"/>
      <sheetData sheetId="5"/>
      <sheetData sheetId="6"/>
      <sheetData sheetId="7">
        <row r="76">
          <cell r="K76">
            <v>0</v>
          </cell>
          <cell r="N76">
            <v>0</v>
          </cell>
        </row>
      </sheetData>
      <sheetData sheetId="8"/>
      <sheetData sheetId="9"/>
      <sheetData sheetId="10"/>
      <sheetData sheetId="11"/>
      <sheetData sheetId="12">
        <row r="6">
          <cell r="E6"/>
        </row>
        <row r="9">
          <cell r="E9"/>
        </row>
        <row r="15">
          <cell r="E15"/>
        </row>
      </sheetData>
      <sheetData sheetId="13"/>
      <sheetData sheetId="14">
        <row r="27">
          <cell r="D27"/>
        </row>
        <row r="28">
          <cell r="D28"/>
        </row>
      </sheetData>
      <sheetData sheetId="15"/>
      <sheetData sheetId="16">
        <row r="23">
          <cell r="F23">
            <v>0</v>
          </cell>
        </row>
      </sheetData>
      <sheetData sheetId="17">
        <row r="8">
          <cell r="E8"/>
        </row>
        <row r="60">
          <cell r="E60">
            <v>0</v>
          </cell>
        </row>
        <row r="61">
          <cell r="E61">
            <v>0</v>
          </cell>
        </row>
      </sheetData>
      <sheetData sheetId="18"/>
      <sheetData sheetId="19">
        <row r="8">
          <cell r="C8">
            <v>0</v>
          </cell>
        </row>
        <row r="19">
          <cell r="C19">
            <v>0</v>
          </cell>
        </row>
        <row r="32">
          <cell r="C32">
            <v>0</v>
          </cell>
        </row>
        <row r="36">
          <cell r="C36">
            <v>0</v>
          </cell>
        </row>
      </sheetData>
      <sheetData sheetId="20"/>
      <sheetData sheetId="21"/>
    </sheetDataSet>
  </externalBook>
</externalLink>
</file>

<file path=xl/theme/theme1.xml><?xml version="1.0" encoding="utf-8"?>
<a:theme xmlns:a="http://schemas.openxmlformats.org/drawingml/2006/main" name="Chủ đề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B5B53-C2AC-4DD7-8655-7AE4E22B4211}">
  <sheetPr>
    <tabColor rgb="FFFF0000"/>
    <pageSetUpPr fitToPage="1"/>
  </sheetPr>
  <dimension ref="A1:E27"/>
  <sheetViews>
    <sheetView topLeftCell="A7" zoomScale="85" zoomScaleNormal="85" workbookViewId="0">
      <selection activeCell="B8" sqref="B8"/>
    </sheetView>
  </sheetViews>
  <sheetFormatPr defaultColWidth="9" defaultRowHeight="45" customHeight="1" x14ac:dyDescent="0.35"/>
  <cols>
    <col min="1" max="1" width="9" style="173"/>
    <col min="2" max="2" width="40.7265625" style="173" customWidth="1"/>
    <col min="3" max="3" width="53.36328125" style="174" customWidth="1"/>
    <col min="4" max="4" width="77.36328125" style="174" customWidth="1"/>
    <col min="5" max="16384" width="9" style="173"/>
  </cols>
  <sheetData>
    <row r="1" spans="1:5" ht="20.149999999999999" customHeight="1" x14ac:dyDescent="0.35">
      <c r="B1" s="173" t="s">
        <v>218</v>
      </c>
    </row>
    <row r="2" spans="1:5" ht="20.149999999999999" customHeight="1" x14ac:dyDescent="0.35">
      <c r="B2" s="173" t="s">
        <v>219</v>
      </c>
    </row>
    <row r="3" spans="1:5" ht="20.149999999999999" customHeight="1" x14ac:dyDescent="0.35"/>
    <row r="4" spans="1:5" ht="45" customHeight="1" x14ac:dyDescent="0.35">
      <c r="A4" s="811" t="s">
        <v>220</v>
      </c>
      <c r="B4" s="811"/>
      <c r="C4" s="811"/>
      <c r="D4" s="811"/>
      <c r="E4" s="811"/>
    </row>
    <row r="5" spans="1:5" s="244" customFormat="1" ht="45" customHeight="1" x14ac:dyDescent="0.35">
      <c r="A5" s="350" t="s">
        <v>281</v>
      </c>
      <c r="B5" s="350" t="s">
        <v>215</v>
      </c>
      <c r="C5" s="351" t="s">
        <v>216</v>
      </c>
      <c r="D5" s="351" t="s">
        <v>217</v>
      </c>
      <c r="E5" s="350" t="s">
        <v>16</v>
      </c>
    </row>
    <row r="6" spans="1:5" s="235" customFormat="1" ht="45" customHeight="1" x14ac:dyDescent="0.35">
      <c r="A6" s="352">
        <v>1</v>
      </c>
      <c r="B6" s="353" t="s">
        <v>183</v>
      </c>
      <c r="C6" s="319" t="s">
        <v>3</v>
      </c>
      <c r="D6" s="319" t="s">
        <v>188</v>
      </c>
      <c r="E6" s="354"/>
    </row>
    <row r="7" spans="1:5" s="235" customFormat="1" ht="45" customHeight="1" x14ac:dyDescent="0.35">
      <c r="A7" s="352">
        <v>1</v>
      </c>
      <c r="B7" s="353" t="s">
        <v>184</v>
      </c>
      <c r="C7" s="319" t="s">
        <v>44</v>
      </c>
      <c r="D7" s="319" t="s">
        <v>185</v>
      </c>
      <c r="E7" s="354"/>
    </row>
    <row r="8" spans="1:5" s="235" customFormat="1" ht="45" customHeight="1" x14ac:dyDescent="0.35">
      <c r="A8" s="352">
        <v>1</v>
      </c>
      <c r="B8" s="353" t="s">
        <v>186</v>
      </c>
      <c r="C8" s="319" t="s">
        <v>66</v>
      </c>
      <c r="D8" s="319" t="s">
        <v>187</v>
      </c>
      <c r="E8" s="354"/>
    </row>
    <row r="9" spans="1:5" s="235" customFormat="1" ht="45" customHeight="1" x14ac:dyDescent="0.35">
      <c r="A9" s="352">
        <v>1</v>
      </c>
      <c r="B9" s="353" t="s">
        <v>189</v>
      </c>
      <c r="C9" s="319" t="s">
        <v>450</v>
      </c>
      <c r="D9" s="319" t="s">
        <v>190</v>
      </c>
      <c r="E9" s="354"/>
    </row>
    <row r="10" spans="1:5" s="235" customFormat="1" ht="45" customHeight="1" x14ac:dyDescent="0.35">
      <c r="A10" s="352">
        <v>1</v>
      </c>
      <c r="B10" s="353" t="s">
        <v>191</v>
      </c>
      <c r="C10" s="319" t="s">
        <v>451</v>
      </c>
      <c r="D10" s="319" t="s">
        <v>192</v>
      </c>
      <c r="E10" s="354"/>
    </row>
    <row r="11" spans="1:5" s="235" customFormat="1" ht="45" customHeight="1" x14ac:dyDescent="0.35">
      <c r="A11" s="355">
        <v>2</v>
      </c>
      <c r="B11" s="356" t="s">
        <v>644</v>
      </c>
      <c r="C11" s="319" t="s">
        <v>646</v>
      </c>
      <c r="D11" s="319" t="s">
        <v>647</v>
      </c>
      <c r="E11" s="354"/>
    </row>
    <row r="12" spans="1:5" s="235" customFormat="1" ht="45" customHeight="1" x14ac:dyDescent="0.35">
      <c r="A12" s="355">
        <v>2</v>
      </c>
      <c r="B12" s="356" t="s">
        <v>645</v>
      </c>
      <c r="C12" s="319" t="s">
        <v>646</v>
      </c>
      <c r="D12" s="319" t="s">
        <v>648</v>
      </c>
      <c r="E12" s="354"/>
    </row>
    <row r="13" spans="1:5" s="235" customFormat="1" ht="45" customHeight="1" x14ac:dyDescent="0.35">
      <c r="A13" s="357">
        <v>3</v>
      </c>
      <c r="B13" s="354" t="s">
        <v>650</v>
      </c>
      <c r="C13" s="319" t="s">
        <v>652</v>
      </c>
      <c r="D13" s="319" t="s">
        <v>470</v>
      </c>
      <c r="E13" s="354"/>
    </row>
    <row r="14" spans="1:5" s="235" customFormat="1" ht="45" customHeight="1" x14ac:dyDescent="0.35">
      <c r="A14" s="357">
        <v>3</v>
      </c>
      <c r="B14" s="354" t="s">
        <v>651</v>
      </c>
      <c r="C14" s="319" t="s">
        <v>653</v>
      </c>
      <c r="D14" s="319" t="s">
        <v>654</v>
      </c>
      <c r="E14" s="354"/>
    </row>
    <row r="15" spans="1:5" s="235" customFormat="1" ht="45" customHeight="1" x14ac:dyDescent="0.35">
      <c r="A15" s="357">
        <v>4</v>
      </c>
      <c r="B15" s="354" t="s">
        <v>320</v>
      </c>
      <c r="C15" s="319" t="s">
        <v>228</v>
      </c>
      <c r="D15" s="319" t="s">
        <v>374</v>
      </c>
      <c r="E15" s="354"/>
    </row>
    <row r="16" spans="1:5" s="235" customFormat="1" ht="45" customHeight="1" x14ac:dyDescent="0.35">
      <c r="A16" s="357">
        <v>5</v>
      </c>
      <c r="B16" s="354" t="s">
        <v>321</v>
      </c>
      <c r="C16" s="319" t="s">
        <v>468</v>
      </c>
      <c r="D16" s="319" t="s">
        <v>469</v>
      </c>
      <c r="E16" s="354"/>
    </row>
    <row r="17" spans="1:5" s="235" customFormat="1" ht="45" customHeight="1" x14ac:dyDescent="0.35">
      <c r="A17" s="357">
        <v>6</v>
      </c>
      <c r="B17" s="354" t="s">
        <v>322</v>
      </c>
      <c r="C17" s="319" t="s">
        <v>260</v>
      </c>
      <c r="D17" s="319" t="s">
        <v>373</v>
      </c>
      <c r="E17" s="354"/>
    </row>
    <row r="18" spans="1:5" s="235" customFormat="1" ht="45" customHeight="1" x14ac:dyDescent="0.35">
      <c r="A18" s="357">
        <v>7</v>
      </c>
      <c r="B18" s="354" t="s">
        <v>314</v>
      </c>
      <c r="C18" s="319" t="s">
        <v>263</v>
      </c>
      <c r="D18" s="319" t="s">
        <v>471</v>
      </c>
      <c r="E18" s="354"/>
    </row>
    <row r="19" spans="1:5" s="235" customFormat="1" ht="45" customHeight="1" x14ac:dyDescent="0.35">
      <c r="A19" s="357">
        <v>8</v>
      </c>
      <c r="B19" s="354" t="s">
        <v>313</v>
      </c>
      <c r="C19" s="319" t="s">
        <v>448</v>
      </c>
      <c r="D19" s="319" t="s">
        <v>449</v>
      </c>
      <c r="E19" s="354"/>
    </row>
    <row r="20" spans="1:5" s="235" customFormat="1" ht="129" customHeight="1" x14ac:dyDescent="0.35">
      <c r="A20" s="358">
        <v>9</v>
      </c>
      <c r="B20" s="726" t="s">
        <v>690</v>
      </c>
      <c r="C20" s="319" t="s">
        <v>291</v>
      </c>
      <c r="D20" s="319" t="s">
        <v>721</v>
      </c>
      <c r="E20" s="354"/>
    </row>
    <row r="21" spans="1:5" s="235" customFormat="1" ht="45" customHeight="1" x14ac:dyDescent="0.35">
      <c r="A21" s="358">
        <v>9</v>
      </c>
      <c r="B21" s="726" t="s">
        <v>691</v>
      </c>
      <c r="C21" s="319" t="s">
        <v>291</v>
      </c>
      <c r="D21" s="319" t="s">
        <v>692</v>
      </c>
      <c r="E21" s="354"/>
    </row>
    <row r="22" spans="1:5" s="235" customFormat="1" ht="45" customHeight="1" x14ac:dyDescent="0.35">
      <c r="A22" s="358">
        <v>9</v>
      </c>
      <c r="B22" s="359" t="s">
        <v>588</v>
      </c>
      <c r="C22" s="319" t="s">
        <v>291</v>
      </c>
      <c r="D22" s="319" t="s">
        <v>589</v>
      </c>
      <c r="E22" s="354"/>
    </row>
    <row r="23" spans="1:5" s="235" customFormat="1" ht="45" customHeight="1" x14ac:dyDescent="0.35">
      <c r="A23" s="374">
        <v>10</v>
      </c>
      <c r="B23" s="375" t="s">
        <v>323</v>
      </c>
      <c r="C23" s="319" t="s">
        <v>375</v>
      </c>
      <c r="D23" s="319" t="s">
        <v>376</v>
      </c>
      <c r="E23" s="354"/>
    </row>
    <row r="24" spans="1:5" s="235" customFormat="1" ht="45" customHeight="1" x14ac:dyDescent="0.35">
      <c r="A24" s="376">
        <v>11</v>
      </c>
      <c r="B24" s="377" t="s">
        <v>324</v>
      </c>
      <c r="C24" s="319" t="s">
        <v>457</v>
      </c>
      <c r="D24" s="319" t="s">
        <v>469</v>
      </c>
      <c r="E24" s="354"/>
    </row>
    <row r="25" spans="1:5" s="235" customFormat="1" ht="115.5" customHeight="1" x14ac:dyDescent="0.35">
      <c r="A25" s="360">
        <v>12</v>
      </c>
      <c r="B25" s="361" t="s">
        <v>325</v>
      </c>
      <c r="C25" s="319" t="s">
        <v>371</v>
      </c>
      <c r="D25" s="319" t="s">
        <v>372</v>
      </c>
      <c r="E25" s="354"/>
    </row>
    <row r="27" spans="1:5" ht="45" customHeight="1" x14ac:dyDescent="0.35">
      <c r="B27" s="173" t="s">
        <v>638</v>
      </c>
    </row>
  </sheetData>
  <mergeCells count="1">
    <mergeCell ref="A4:E4"/>
  </mergeCells>
  <pageMargins left="0.17" right="0.17" top="0.23" bottom="0.17" header="0.3" footer="0.3"/>
  <pageSetup paperSize="9" scale="7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638B0-0305-4117-8BFA-FE5E9F6C93EC}">
  <sheetPr>
    <pageSetUpPr fitToPage="1"/>
  </sheetPr>
  <dimension ref="A1:I52"/>
  <sheetViews>
    <sheetView topLeftCell="A16" zoomScale="85" zoomScaleNormal="85" workbookViewId="0">
      <selection activeCell="G23" sqref="G23:H23"/>
    </sheetView>
  </sheetViews>
  <sheetFormatPr defaultColWidth="9" defaultRowHeight="14.5" x14ac:dyDescent="0.35"/>
  <cols>
    <col min="1" max="1" width="4.90625" style="172" customWidth="1"/>
    <col min="2" max="2" width="31.36328125" style="142" customWidth="1"/>
    <col min="3" max="3" width="16.90625" style="142" customWidth="1"/>
    <col min="4" max="4" width="20" style="142" customWidth="1"/>
    <col min="5" max="5" width="7.7265625" style="142" customWidth="1"/>
    <col min="6" max="6" width="9.90625" style="142" customWidth="1"/>
    <col min="7" max="7" width="12.36328125" style="142" customWidth="1"/>
    <col min="8" max="8" width="15.7265625" style="141" customWidth="1"/>
    <col min="9" max="9" width="57.453125" style="141" bestFit="1" customWidth="1"/>
    <col min="10" max="16384" width="9" style="141"/>
  </cols>
  <sheetData>
    <row r="1" spans="1:9" ht="15" x14ac:dyDescent="0.35">
      <c r="A1" s="878" t="s">
        <v>243</v>
      </c>
      <c r="B1" s="878"/>
      <c r="C1" s="508"/>
      <c r="D1" s="536"/>
      <c r="H1" s="203" t="s">
        <v>244</v>
      </c>
    </row>
    <row r="2" spans="1:9" ht="14.25" customHeight="1" x14ac:dyDescent="0.35">
      <c r="A2" s="879" t="s">
        <v>245</v>
      </c>
      <c r="B2" s="879"/>
      <c r="C2" s="509"/>
      <c r="D2" s="537"/>
      <c r="E2" s="814"/>
      <c r="F2" s="814"/>
      <c r="G2" s="814"/>
      <c r="H2" s="814"/>
    </row>
    <row r="3" spans="1:9" ht="30" customHeight="1" x14ac:dyDescent="0.35">
      <c r="A3" s="814" t="s">
        <v>246</v>
      </c>
      <c r="B3" s="814"/>
      <c r="C3" s="814"/>
      <c r="D3" s="814"/>
      <c r="E3" s="814"/>
      <c r="F3" s="814"/>
      <c r="G3" s="814"/>
      <c r="H3" s="814"/>
    </row>
    <row r="4" spans="1:9" ht="15" thickBot="1" x14ac:dyDescent="0.4">
      <c r="A4" s="177"/>
      <c r="B4" s="177"/>
      <c r="C4" s="177"/>
      <c r="D4" s="177"/>
      <c r="E4" s="177"/>
      <c r="F4" s="177"/>
      <c r="G4" s="177"/>
      <c r="H4" s="204" t="s">
        <v>229</v>
      </c>
    </row>
    <row r="5" spans="1:9" ht="38.25" customHeight="1" thickTop="1" x14ac:dyDescent="0.35">
      <c r="A5" s="179" t="s">
        <v>5</v>
      </c>
      <c r="B5" s="180" t="s">
        <v>247</v>
      </c>
      <c r="C5" s="507" t="s">
        <v>621</v>
      </c>
      <c r="D5" s="534" t="s">
        <v>657</v>
      </c>
      <c r="E5" s="180" t="s">
        <v>7</v>
      </c>
      <c r="F5" s="180" t="s">
        <v>248</v>
      </c>
      <c r="G5" s="180" t="s">
        <v>249</v>
      </c>
      <c r="H5" s="181" t="s">
        <v>16</v>
      </c>
    </row>
    <row r="6" spans="1:9" ht="63.5" customHeight="1" x14ac:dyDescent="0.35">
      <c r="A6" s="205">
        <v>1</v>
      </c>
      <c r="B6" s="206" t="s">
        <v>250</v>
      </c>
      <c r="C6" s="206"/>
      <c r="D6" s="206"/>
      <c r="E6" s="207"/>
      <c r="F6" s="207"/>
      <c r="G6" s="207"/>
      <c r="H6" s="208" t="s">
        <v>251</v>
      </c>
      <c r="I6" s="505" t="s">
        <v>658</v>
      </c>
    </row>
    <row r="7" spans="1:9" ht="52" x14ac:dyDescent="0.35">
      <c r="A7" s="209"/>
      <c r="B7" s="210" t="s">
        <v>893</v>
      </c>
      <c r="C7" s="210" t="s">
        <v>894</v>
      </c>
      <c r="D7" s="210"/>
      <c r="E7" s="211">
        <v>10</v>
      </c>
      <c r="F7" s="211"/>
      <c r="G7" s="211"/>
      <c r="H7" s="212" t="s">
        <v>895</v>
      </c>
      <c r="I7" s="142"/>
    </row>
    <row r="8" spans="1:9" ht="22" customHeight="1" x14ac:dyDescent="0.35">
      <c r="A8" s="209"/>
      <c r="B8" s="210" t="s">
        <v>896</v>
      </c>
      <c r="C8" s="210" t="s">
        <v>894</v>
      </c>
      <c r="D8" s="210"/>
      <c r="E8" s="211">
        <v>2</v>
      </c>
      <c r="F8" s="211"/>
      <c r="G8" s="211"/>
      <c r="H8" s="212" t="s">
        <v>897</v>
      </c>
    </row>
    <row r="9" spans="1:9" ht="22" customHeight="1" x14ac:dyDescent="0.35">
      <c r="A9" s="209"/>
      <c r="B9" s="210" t="s">
        <v>898</v>
      </c>
      <c r="C9" s="210" t="s">
        <v>899</v>
      </c>
      <c r="D9" s="210" t="s">
        <v>900</v>
      </c>
      <c r="E9" s="211">
        <v>1</v>
      </c>
      <c r="F9" s="211"/>
      <c r="G9" s="211"/>
      <c r="H9" s="212"/>
    </row>
    <row r="10" spans="1:9" ht="22" customHeight="1" x14ac:dyDescent="0.35">
      <c r="A10" s="209">
        <v>2</v>
      </c>
      <c r="B10" s="210" t="s">
        <v>252</v>
      </c>
      <c r="C10" s="210"/>
      <c r="D10" s="210"/>
      <c r="E10" s="211"/>
      <c r="F10" s="211"/>
      <c r="G10" s="211"/>
      <c r="H10" s="212"/>
    </row>
    <row r="11" spans="1:9" ht="22" customHeight="1" x14ac:dyDescent="0.35">
      <c r="A11" s="209"/>
      <c r="B11" s="210"/>
      <c r="C11" s="210"/>
      <c r="D11" s="210"/>
      <c r="E11" s="211"/>
      <c r="F11" s="211"/>
      <c r="G11" s="211"/>
      <c r="H11" s="212"/>
    </row>
    <row r="12" spans="1:9" ht="22" customHeight="1" x14ac:dyDescent="0.35">
      <c r="A12" s="209"/>
      <c r="B12" s="210"/>
      <c r="C12" s="210"/>
      <c r="D12" s="210"/>
      <c r="E12" s="211"/>
      <c r="F12" s="211"/>
      <c r="G12" s="211"/>
      <c r="H12" s="212"/>
    </row>
    <row r="13" spans="1:9" ht="22" customHeight="1" x14ac:dyDescent="0.35">
      <c r="A13" s="209">
        <v>3</v>
      </c>
      <c r="B13" s="210" t="s">
        <v>253</v>
      </c>
      <c r="C13" s="210"/>
      <c r="D13" s="210"/>
      <c r="E13" s="211"/>
      <c r="F13" s="211"/>
      <c r="G13" s="211"/>
      <c r="H13" s="212" t="s">
        <v>254</v>
      </c>
    </row>
    <row r="14" spans="1:9" ht="22" customHeight="1" x14ac:dyDescent="0.35">
      <c r="A14" s="209"/>
      <c r="B14" s="210"/>
      <c r="C14" s="210"/>
      <c r="D14" s="210"/>
      <c r="E14" s="211"/>
      <c r="F14" s="211"/>
      <c r="G14" s="211"/>
      <c r="H14" s="212"/>
    </row>
    <row r="15" spans="1:9" ht="22" customHeight="1" x14ac:dyDescent="0.35">
      <c r="A15" s="209"/>
      <c r="B15" s="210"/>
      <c r="C15" s="210"/>
      <c r="D15" s="210"/>
      <c r="E15" s="211"/>
      <c r="F15" s="211"/>
      <c r="G15" s="211"/>
      <c r="H15" s="212"/>
    </row>
    <row r="16" spans="1:9" s="214" customFormat="1" ht="22" customHeight="1" x14ac:dyDescent="0.35">
      <c r="A16" s="209">
        <v>4</v>
      </c>
      <c r="B16" s="210" t="s">
        <v>255</v>
      </c>
      <c r="C16" s="210"/>
      <c r="D16" s="210"/>
      <c r="E16" s="108"/>
      <c r="F16" s="108"/>
      <c r="G16" s="98"/>
      <c r="H16" s="213"/>
    </row>
    <row r="17" spans="1:8" s="214" customFormat="1" ht="22" customHeight="1" x14ac:dyDescent="0.35">
      <c r="A17" s="209"/>
      <c r="B17" s="210"/>
      <c r="C17" s="210"/>
      <c r="D17" s="210"/>
      <c r="E17" s="108"/>
      <c r="F17" s="108"/>
      <c r="G17" s="98"/>
      <c r="H17" s="213"/>
    </row>
    <row r="18" spans="1:8" s="214" customFormat="1" ht="22" customHeight="1" x14ac:dyDescent="0.35">
      <c r="A18" s="209"/>
      <c r="B18" s="210"/>
      <c r="C18" s="210"/>
      <c r="D18" s="210"/>
      <c r="E18" s="108"/>
      <c r="F18" s="108"/>
      <c r="G18" s="98"/>
      <c r="H18" s="213"/>
    </row>
    <row r="19" spans="1:8" s="215" customFormat="1" ht="22" customHeight="1" x14ac:dyDescent="0.35">
      <c r="A19" s="209">
        <v>5</v>
      </c>
      <c r="B19" s="210" t="s">
        <v>256</v>
      </c>
      <c r="C19" s="210"/>
      <c r="D19" s="210"/>
      <c r="E19" s="108"/>
      <c r="F19" s="108"/>
      <c r="G19" s="98"/>
      <c r="H19" s="213"/>
    </row>
    <row r="20" spans="1:8" s="214" customFormat="1" ht="22" customHeight="1" x14ac:dyDescent="0.35">
      <c r="A20" s="216"/>
      <c r="B20" s="113"/>
      <c r="C20" s="113"/>
      <c r="D20" s="113"/>
      <c r="E20" s="113"/>
      <c r="F20" s="113"/>
      <c r="G20" s="114"/>
      <c r="H20" s="217"/>
    </row>
    <row r="21" spans="1:8" s="221" customFormat="1" ht="18" customHeight="1" thickBot="1" x14ac:dyDescent="0.4">
      <c r="A21" s="883" t="s">
        <v>239</v>
      </c>
      <c r="B21" s="884"/>
      <c r="C21" s="511"/>
      <c r="D21" s="539"/>
      <c r="E21" s="218"/>
      <c r="F21" s="218"/>
      <c r="G21" s="219"/>
      <c r="H21" s="220"/>
    </row>
    <row r="22" spans="1:8" ht="15" thickTop="1" x14ac:dyDescent="0.35">
      <c r="A22" s="196"/>
      <c r="B22" s="197"/>
      <c r="C22" s="197"/>
      <c r="D22" s="197"/>
      <c r="E22" s="197"/>
      <c r="F22" s="197"/>
      <c r="G22" s="197"/>
      <c r="H22" s="198"/>
    </row>
    <row r="23" spans="1:8" x14ac:dyDescent="0.35">
      <c r="A23" s="141"/>
      <c r="B23" s="141"/>
      <c r="C23" s="141"/>
      <c r="D23" s="141"/>
      <c r="E23" s="141"/>
      <c r="F23" s="199"/>
      <c r="G23" s="885" t="s">
        <v>257</v>
      </c>
      <c r="H23" s="885"/>
    </row>
    <row r="24" spans="1:8" ht="15" customHeight="1" x14ac:dyDescent="0.35">
      <c r="A24" s="882"/>
      <c r="B24" s="882"/>
      <c r="C24" s="510"/>
      <c r="D24" s="538"/>
      <c r="E24" s="201"/>
      <c r="F24" s="201"/>
      <c r="G24" s="814" t="s">
        <v>43</v>
      </c>
      <c r="H24" s="814"/>
    </row>
    <row r="25" spans="1:8" ht="87" customHeight="1" x14ac:dyDescent="0.35">
      <c r="A25" s="875" t="s">
        <v>258</v>
      </c>
      <c r="B25" s="875"/>
      <c r="C25" s="875"/>
      <c r="D25" s="875"/>
      <c r="E25" s="875"/>
      <c r="F25" s="875"/>
      <c r="G25" s="875"/>
      <c r="H25" s="875"/>
    </row>
    <row r="26" spans="1:8" x14ac:dyDescent="0.35">
      <c r="A26" s="141"/>
      <c r="B26" s="141"/>
      <c r="C26" s="141"/>
      <c r="D26" s="141"/>
      <c r="E26" s="141"/>
      <c r="F26" s="197"/>
      <c r="G26" s="197"/>
      <c r="H26" s="196"/>
    </row>
    <row r="27" spans="1:8" x14ac:dyDescent="0.35">
      <c r="A27" s="196"/>
      <c r="B27" s="197"/>
      <c r="C27" s="197"/>
      <c r="D27" s="197"/>
      <c r="E27" s="197"/>
      <c r="F27" s="197"/>
      <c r="G27" s="197"/>
      <c r="H27" s="222"/>
    </row>
    <row r="28" spans="1:8" x14ac:dyDescent="0.35">
      <c r="A28" s="196"/>
      <c r="B28" s="197"/>
      <c r="C28" s="197"/>
      <c r="D28" s="197"/>
      <c r="E28" s="197"/>
      <c r="F28" s="197"/>
      <c r="G28" s="197"/>
      <c r="H28" s="222"/>
    </row>
    <row r="29" spans="1:8" x14ac:dyDescent="0.35">
      <c r="A29" s="196"/>
      <c r="B29" s="197"/>
      <c r="C29" s="197"/>
      <c r="D29" s="197"/>
      <c r="E29" s="197"/>
      <c r="F29" s="197"/>
      <c r="G29" s="197"/>
      <c r="H29" s="222"/>
    </row>
    <row r="30" spans="1:8" ht="13.5" customHeight="1" x14ac:dyDescent="0.35">
      <c r="A30" s="196"/>
      <c r="B30" s="197"/>
      <c r="C30" s="197"/>
      <c r="D30" s="197"/>
      <c r="E30" s="197"/>
      <c r="F30" s="197"/>
      <c r="G30" s="197"/>
      <c r="H30" s="222"/>
    </row>
    <row r="31" spans="1:8" x14ac:dyDescent="0.35">
      <c r="A31" s="196"/>
      <c r="B31" s="197"/>
      <c r="C31" s="197"/>
      <c r="D31" s="197"/>
      <c r="E31" s="197"/>
      <c r="F31" s="197"/>
      <c r="G31" s="197"/>
      <c r="H31" s="222"/>
    </row>
    <row r="32" spans="1:8" x14ac:dyDescent="0.35">
      <c r="A32" s="196"/>
      <c r="B32" s="197"/>
      <c r="C32" s="197"/>
      <c r="D32" s="197"/>
      <c r="E32" s="197"/>
      <c r="F32" s="197"/>
      <c r="G32" s="197"/>
      <c r="H32" s="222"/>
    </row>
    <row r="33" spans="1:8" x14ac:dyDescent="0.35">
      <c r="A33" s="196"/>
      <c r="B33" s="197"/>
      <c r="C33" s="197"/>
      <c r="D33" s="197"/>
      <c r="E33" s="197"/>
      <c r="F33" s="197"/>
      <c r="G33" s="197"/>
      <c r="H33" s="222"/>
    </row>
    <row r="34" spans="1:8" x14ac:dyDescent="0.35">
      <c r="A34" s="196"/>
      <c r="B34" s="197"/>
      <c r="C34" s="197"/>
      <c r="D34" s="197"/>
      <c r="E34" s="197"/>
      <c r="F34" s="197"/>
      <c r="G34" s="197"/>
      <c r="H34" s="222"/>
    </row>
    <row r="35" spans="1:8" x14ac:dyDescent="0.35">
      <c r="A35" s="196"/>
      <c r="B35" s="197"/>
      <c r="C35" s="197"/>
      <c r="D35" s="197"/>
      <c r="E35" s="197"/>
      <c r="F35" s="197"/>
      <c r="G35" s="197"/>
      <c r="H35" s="222"/>
    </row>
    <row r="36" spans="1:8" x14ac:dyDescent="0.35">
      <c r="A36" s="196"/>
      <c r="B36" s="197"/>
      <c r="C36" s="197"/>
      <c r="D36" s="197"/>
      <c r="E36" s="197"/>
      <c r="F36" s="197"/>
      <c r="G36" s="197"/>
      <c r="H36" s="222"/>
    </row>
    <row r="37" spans="1:8" x14ac:dyDescent="0.35">
      <c r="A37" s="196"/>
      <c r="B37" s="197"/>
      <c r="C37" s="197"/>
      <c r="D37" s="197"/>
      <c r="E37" s="197"/>
      <c r="F37" s="197"/>
      <c r="G37" s="197"/>
      <c r="H37" s="222"/>
    </row>
    <row r="38" spans="1:8" x14ac:dyDescent="0.35">
      <c r="A38" s="196"/>
      <c r="B38" s="197"/>
      <c r="C38" s="197"/>
      <c r="D38" s="197"/>
      <c r="E38" s="197"/>
      <c r="F38" s="197"/>
      <c r="G38" s="197"/>
      <c r="H38" s="222"/>
    </row>
    <row r="39" spans="1:8" x14ac:dyDescent="0.35">
      <c r="A39" s="196"/>
      <c r="B39" s="197"/>
      <c r="C39" s="197"/>
      <c r="D39" s="197"/>
      <c r="E39" s="197"/>
      <c r="F39" s="197"/>
      <c r="G39" s="197"/>
      <c r="H39" s="222"/>
    </row>
    <row r="40" spans="1:8" x14ac:dyDescent="0.35">
      <c r="A40" s="196"/>
      <c r="B40" s="197"/>
      <c r="C40" s="197"/>
      <c r="D40" s="197"/>
      <c r="E40" s="197"/>
      <c r="F40" s="197"/>
      <c r="G40" s="197"/>
      <c r="H40" s="222"/>
    </row>
    <row r="41" spans="1:8" x14ac:dyDescent="0.35">
      <c r="A41" s="196"/>
      <c r="B41" s="197"/>
      <c r="C41" s="197"/>
      <c r="D41" s="197"/>
      <c r="E41" s="197"/>
      <c r="F41" s="197"/>
      <c r="G41" s="197"/>
      <c r="H41" s="222"/>
    </row>
    <row r="42" spans="1:8" x14ac:dyDescent="0.35">
      <c r="A42" s="196"/>
      <c r="B42" s="197"/>
      <c r="C42" s="197"/>
      <c r="D42" s="197"/>
      <c r="E42" s="197"/>
      <c r="F42" s="197"/>
      <c r="G42" s="197"/>
      <c r="H42" s="222"/>
    </row>
    <row r="43" spans="1:8" x14ac:dyDescent="0.35">
      <c r="A43" s="196"/>
      <c r="B43" s="197"/>
      <c r="C43" s="197"/>
      <c r="D43" s="197"/>
      <c r="E43" s="197"/>
      <c r="F43" s="197"/>
      <c r="G43" s="197"/>
      <c r="H43" s="222"/>
    </row>
    <row r="44" spans="1:8" x14ac:dyDescent="0.35">
      <c r="A44" s="196"/>
      <c r="B44" s="197"/>
      <c r="C44" s="197"/>
      <c r="D44" s="197"/>
      <c r="E44" s="197"/>
      <c r="F44" s="197"/>
      <c r="G44" s="197"/>
      <c r="H44" s="222"/>
    </row>
    <row r="45" spans="1:8" x14ac:dyDescent="0.35">
      <c r="A45" s="196"/>
      <c r="B45" s="197"/>
      <c r="C45" s="197"/>
      <c r="D45" s="197"/>
      <c r="E45" s="197"/>
      <c r="F45" s="197"/>
      <c r="G45" s="197"/>
      <c r="H45" s="222"/>
    </row>
    <row r="46" spans="1:8" x14ac:dyDescent="0.35">
      <c r="A46" s="196"/>
      <c r="B46" s="197"/>
      <c r="C46" s="197"/>
      <c r="D46" s="197"/>
      <c r="E46" s="197"/>
      <c r="F46" s="197"/>
      <c r="G46" s="197"/>
      <c r="H46" s="222"/>
    </row>
    <row r="47" spans="1:8" x14ac:dyDescent="0.35">
      <c r="A47" s="196"/>
      <c r="B47" s="197"/>
      <c r="C47" s="197"/>
      <c r="D47" s="197"/>
      <c r="E47" s="197"/>
      <c r="F47" s="197"/>
      <c r="G47" s="197"/>
      <c r="H47" s="222"/>
    </row>
    <row r="48" spans="1:8" x14ac:dyDescent="0.35">
      <c r="A48" s="196"/>
      <c r="B48" s="197"/>
      <c r="C48" s="197"/>
      <c r="D48" s="197"/>
      <c r="E48" s="197"/>
      <c r="F48" s="197"/>
      <c r="G48" s="197"/>
      <c r="H48" s="222"/>
    </row>
    <row r="49" spans="1:8" x14ac:dyDescent="0.35">
      <c r="A49" s="196"/>
      <c r="B49" s="197"/>
      <c r="C49" s="197"/>
      <c r="D49" s="197"/>
      <c r="E49" s="197"/>
      <c r="F49" s="197"/>
      <c r="G49" s="197"/>
      <c r="H49" s="222"/>
    </row>
    <row r="50" spans="1:8" x14ac:dyDescent="0.35">
      <c r="A50" s="196"/>
      <c r="B50" s="197"/>
      <c r="C50" s="197"/>
      <c r="D50" s="197"/>
      <c r="E50" s="197"/>
      <c r="F50" s="197"/>
      <c r="G50" s="197"/>
      <c r="H50" s="222"/>
    </row>
    <row r="51" spans="1:8" x14ac:dyDescent="0.35">
      <c r="A51" s="196"/>
      <c r="B51" s="197"/>
      <c r="C51" s="197"/>
      <c r="D51" s="197"/>
      <c r="E51" s="197"/>
      <c r="F51" s="197"/>
      <c r="G51" s="197"/>
      <c r="H51" s="222"/>
    </row>
    <row r="52" spans="1:8" x14ac:dyDescent="0.35">
      <c r="A52" s="223"/>
      <c r="B52" s="224"/>
      <c r="C52" s="224"/>
      <c r="D52" s="224"/>
      <c r="E52" s="224"/>
      <c r="F52" s="224"/>
      <c r="G52" s="224"/>
      <c r="H52" s="225"/>
    </row>
  </sheetData>
  <mergeCells count="9">
    <mergeCell ref="A24:B24"/>
    <mergeCell ref="G24:H24"/>
    <mergeCell ref="A25:H25"/>
    <mergeCell ref="A1:B1"/>
    <mergeCell ref="A2:B2"/>
    <mergeCell ref="E2:H2"/>
    <mergeCell ref="A3:H3"/>
    <mergeCell ref="A21:B21"/>
    <mergeCell ref="G23:H23"/>
  </mergeCells>
  <pageMargins left="0.7" right="0.41" top="0.37" bottom="0.17" header="0.3" footer="0.3"/>
  <pageSetup paperSize="9"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79746-4F0E-40EC-A82B-7C2BD5A0D3A0}">
  <sheetPr>
    <tabColor rgb="FFFF0000"/>
    <pageSetUpPr fitToPage="1"/>
  </sheetPr>
  <dimension ref="A2:N57"/>
  <sheetViews>
    <sheetView topLeftCell="A43" zoomScale="88" zoomScaleNormal="88" workbookViewId="0">
      <selection activeCell="B50" sqref="B50:C51"/>
    </sheetView>
  </sheetViews>
  <sheetFormatPr defaultColWidth="9.08984375" defaultRowHeight="13" x14ac:dyDescent="0.3"/>
  <cols>
    <col min="1" max="1" width="4.7265625" style="448" customWidth="1"/>
    <col min="2" max="2" width="16.36328125" style="448" customWidth="1"/>
    <col min="3" max="3" width="9.6328125" style="448" customWidth="1"/>
    <col min="4" max="4" width="7.26953125" style="448" customWidth="1"/>
    <col min="5" max="5" width="8.7265625" style="448" customWidth="1"/>
    <col min="6" max="6" width="6.6328125" style="448" customWidth="1"/>
    <col min="7" max="7" width="19.08984375" style="448" customWidth="1"/>
    <col min="8" max="8" width="17.08984375" style="448" customWidth="1"/>
    <col min="9" max="9" width="10.7265625" style="448" customWidth="1"/>
    <col min="10" max="10" width="11.7265625" style="448" customWidth="1"/>
    <col min="11" max="11" width="13.7265625" style="448" customWidth="1"/>
    <col min="12" max="12" width="11.08984375" style="448" customWidth="1"/>
    <col min="13" max="13" width="12.7265625" style="448" customWidth="1"/>
    <col min="14" max="14" width="9.90625" style="448" customWidth="1"/>
    <col min="15" max="16384" width="9.08984375" style="448"/>
  </cols>
  <sheetData>
    <row r="2" spans="1:14" ht="15" customHeight="1" x14ac:dyDescent="0.3">
      <c r="N2" s="449" t="s">
        <v>259</v>
      </c>
    </row>
    <row r="3" spans="1:14" ht="18" x14ac:dyDescent="0.4">
      <c r="B3" s="886" t="s">
        <v>218</v>
      </c>
      <c r="C3" s="886"/>
      <c r="D3" s="886"/>
      <c r="E3" s="886"/>
      <c r="F3" s="886"/>
      <c r="G3" s="887" t="s">
        <v>521</v>
      </c>
      <c r="H3" s="886"/>
      <c r="I3" s="886"/>
      <c r="J3" s="886"/>
      <c r="K3" s="886"/>
      <c r="L3" s="886"/>
      <c r="M3" s="886"/>
      <c r="N3" s="450"/>
    </row>
    <row r="4" spans="1:14" ht="18" x14ac:dyDescent="0.4">
      <c r="B4" s="887" t="s">
        <v>0</v>
      </c>
      <c r="C4" s="886"/>
      <c r="D4" s="886"/>
      <c r="E4" s="886"/>
      <c r="F4" s="886"/>
      <c r="G4" s="887" t="s">
        <v>522</v>
      </c>
      <c r="H4" s="886"/>
      <c r="I4" s="886"/>
      <c r="J4" s="886"/>
      <c r="K4" s="886"/>
      <c r="L4" s="886"/>
      <c r="M4" s="886"/>
    </row>
    <row r="6" spans="1:14" ht="18" x14ac:dyDescent="0.4">
      <c r="B6" s="887" t="s">
        <v>523</v>
      </c>
      <c r="C6" s="886"/>
      <c r="D6" s="886"/>
      <c r="E6" s="886"/>
      <c r="F6" s="886"/>
    </row>
    <row r="8" spans="1:14" ht="23.5" customHeight="1" x14ac:dyDescent="0.3">
      <c r="A8" s="888" t="s">
        <v>524</v>
      </c>
      <c r="B8" s="888"/>
      <c r="C8" s="888"/>
      <c r="D8" s="888"/>
      <c r="E8" s="888"/>
      <c r="F8" s="888"/>
      <c r="G8" s="888"/>
      <c r="H8" s="888"/>
      <c r="I8" s="888"/>
      <c r="J8" s="888"/>
      <c r="K8" s="888"/>
      <c r="L8" s="888"/>
      <c r="M8" s="888"/>
      <c r="N8" s="888"/>
    </row>
    <row r="10" spans="1:14" s="464" customFormat="1" ht="24.75" customHeight="1" x14ac:dyDescent="0.35">
      <c r="A10" s="463">
        <v>1</v>
      </c>
      <c r="B10" s="889" t="s">
        <v>526</v>
      </c>
      <c r="C10" s="890"/>
      <c r="D10" s="890"/>
      <c r="E10" s="890"/>
      <c r="F10" s="890"/>
      <c r="G10" s="890"/>
      <c r="H10" s="890"/>
      <c r="I10" s="890"/>
      <c r="J10" s="890"/>
      <c r="K10" s="890"/>
      <c r="L10" s="890"/>
      <c r="M10" s="890"/>
      <c r="N10" s="891"/>
    </row>
    <row r="11" spans="1:14" s="451" customFormat="1" ht="65.5" customHeight="1" x14ac:dyDescent="0.35">
      <c r="A11" s="465" t="s">
        <v>281</v>
      </c>
      <c r="B11" s="892" t="s">
        <v>525</v>
      </c>
      <c r="C11" s="893"/>
      <c r="D11" s="466" t="s">
        <v>69</v>
      </c>
      <c r="E11" s="894" t="s">
        <v>527</v>
      </c>
      <c r="F11" s="894"/>
      <c r="G11" s="895" t="s">
        <v>528</v>
      </c>
      <c r="H11" s="895"/>
      <c r="I11" s="895"/>
      <c r="J11" s="895" t="s">
        <v>529</v>
      </c>
      <c r="K11" s="895"/>
      <c r="L11" s="895"/>
      <c r="M11" s="894" t="s">
        <v>16</v>
      </c>
      <c r="N11" s="894"/>
    </row>
    <row r="12" spans="1:14" s="451" customFormat="1" ht="22.5" customHeight="1" x14ac:dyDescent="0.35">
      <c r="A12" s="452">
        <v>1</v>
      </c>
      <c r="B12" s="896"/>
      <c r="C12" s="896"/>
      <c r="D12" s="453"/>
      <c r="E12" s="897"/>
      <c r="F12" s="897"/>
      <c r="G12" s="897"/>
      <c r="H12" s="897"/>
      <c r="I12" s="897"/>
      <c r="J12" s="898"/>
      <c r="K12" s="899"/>
      <c r="L12" s="900"/>
      <c r="M12" s="897"/>
      <c r="N12" s="897"/>
    </row>
    <row r="13" spans="1:14" s="451" customFormat="1" ht="22.5" customHeight="1" x14ac:dyDescent="0.35">
      <c r="A13" s="457">
        <v>2</v>
      </c>
      <c r="B13" s="901"/>
      <c r="C13" s="901"/>
      <c r="D13" s="458"/>
      <c r="E13" s="902"/>
      <c r="F13" s="903"/>
      <c r="G13" s="904"/>
      <c r="H13" s="905"/>
      <c r="I13" s="906"/>
      <c r="J13" s="902"/>
      <c r="K13" s="907"/>
      <c r="L13" s="903"/>
      <c r="M13" s="904"/>
      <c r="N13" s="906"/>
    </row>
    <row r="14" spans="1:14" s="451" customFormat="1" ht="27" customHeight="1" x14ac:dyDescent="0.35">
      <c r="A14" s="457"/>
      <c r="B14" s="901"/>
      <c r="C14" s="901"/>
      <c r="D14" s="458"/>
      <c r="E14" s="910"/>
      <c r="F14" s="910"/>
      <c r="G14" s="910"/>
      <c r="H14" s="910"/>
      <c r="I14" s="910"/>
      <c r="J14" s="902"/>
      <c r="K14" s="907"/>
      <c r="L14" s="903"/>
      <c r="M14" s="910"/>
      <c r="N14" s="910"/>
    </row>
    <row r="15" spans="1:14" s="451" customFormat="1" ht="27" customHeight="1" x14ac:dyDescent="0.35">
      <c r="A15" s="467"/>
      <c r="B15" s="911" t="s">
        <v>239</v>
      </c>
      <c r="C15" s="911"/>
      <c r="D15" s="468"/>
      <c r="E15" s="911"/>
      <c r="F15" s="911"/>
      <c r="G15" s="911"/>
      <c r="H15" s="911"/>
      <c r="I15" s="911"/>
      <c r="J15" s="912"/>
      <c r="K15" s="913"/>
      <c r="L15" s="914"/>
      <c r="M15" s="911"/>
      <c r="N15" s="911"/>
    </row>
    <row r="16" spans="1:14" s="464" customFormat="1" ht="25.15" customHeight="1" x14ac:dyDescent="0.35">
      <c r="A16" s="469">
        <v>2</v>
      </c>
      <c r="B16" s="915" t="s">
        <v>530</v>
      </c>
      <c r="C16" s="916"/>
      <c r="D16" s="916"/>
      <c r="E16" s="916"/>
      <c r="F16" s="916"/>
      <c r="G16" s="916"/>
      <c r="H16" s="916"/>
      <c r="I16" s="916"/>
      <c r="J16" s="916"/>
      <c r="K16" s="916"/>
      <c r="L16" s="916"/>
      <c r="M16" s="916"/>
      <c r="N16" s="917"/>
    </row>
    <row r="17" spans="1:14" s="451" customFormat="1" ht="25.5" customHeight="1" x14ac:dyDescent="0.35">
      <c r="A17" s="918" t="s">
        <v>281</v>
      </c>
      <c r="B17" s="920" t="s">
        <v>147</v>
      </c>
      <c r="C17" s="921"/>
      <c r="D17" s="895" t="s">
        <v>531</v>
      </c>
      <c r="E17" s="895"/>
      <c r="F17" s="918" t="s">
        <v>532</v>
      </c>
      <c r="G17" s="918" t="s">
        <v>533</v>
      </c>
      <c r="H17" s="918" t="s">
        <v>534</v>
      </c>
      <c r="I17" s="918" t="s">
        <v>148</v>
      </c>
      <c r="J17" s="918" t="s">
        <v>261</v>
      </c>
      <c r="K17" s="918" t="s">
        <v>527</v>
      </c>
      <c r="L17" s="918" t="s">
        <v>535</v>
      </c>
      <c r="M17" s="920" t="s">
        <v>16</v>
      </c>
      <c r="N17" s="921"/>
    </row>
    <row r="18" spans="1:14" s="451" customFormat="1" ht="31.9" customHeight="1" x14ac:dyDescent="0.35">
      <c r="A18" s="919"/>
      <c r="B18" s="922"/>
      <c r="C18" s="924"/>
      <c r="D18" s="466" t="s">
        <v>536</v>
      </c>
      <c r="E18" s="466" t="s">
        <v>537</v>
      </c>
      <c r="F18" s="919"/>
      <c r="G18" s="919"/>
      <c r="H18" s="919"/>
      <c r="I18" s="919"/>
      <c r="J18" s="919"/>
      <c r="K18" s="919"/>
      <c r="L18" s="919"/>
      <c r="M18" s="922"/>
      <c r="N18" s="923"/>
    </row>
    <row r="19" spans="1:14" s="451" customFormat="1" ht="29.5" customHeight="1" x14ac:dyDescent="0.35">
      <c r="A19" s="454">
        <v>1</v>
      </c>
      <c r="B19" s="470"/>
      <c r="C19" s="471"/>
      <c r="D19" s="472"/>
      <c r="E19" s="455"/>
      <c r="F19" s="473"/>
      <c r="G19" s="473"/>
      <c r="H19" s="473"/>
      <c r="I19" s="473"/>
      <c r="J19" s="473"/>
      <c r="K19" s="473"/>
      <c r="L19" s="474"/>
      <c r="M19" s="908"/>
      <c r="N19" s="909"/>
    </row>
    <row r="20" spans="1:14" s="451" customFormat="1" ht="22.5" customHeight="1" x14ac:dyDescent="0.35">
      <c r="A20" s="462">
        <v>2</v>
      </c>
      <c r="B20" s="475"/>
      <c r="C20" s="476"/>
      <c r="D20" s="477"/>
      <c r="E20" s="478"/>
      <c r="F20" s="478"/>
      <c r="G20" s="478"/>
      <c r="H20" s="478"/>
      <c r="I20" s="478"/>
      <c r="J20" s="478"/>
      <c r="K20" s="478"/>
      <c r="L20" s="478"/>
      <c r="M20" s="925"/>
      <c r="N20" s="926"/>
    </row>
    <row r="21" spans="1:14" s="464" customFormat="1" ht="22.5" customHeight="1" x14ac:dyDescent="0.35">
      <c r="A21" s="479">
        <v>3</v>
      </c>
      <c r="B21" s="915" t="s">
        <v>539</v>
      </c>
      <c r="C21" s="916"/>
      <c r="D21" s="916"/>
      <c r="E21" s="916"/>
      <c r="F21" s="916"/>
      <c r="G21" s="916"/>
      <c r="H21" s="916"/>
      <c r="I21" s="916"/>
      <c r="J21" s="916"/>
      <c r="K21" s="916"/>
      <c r="L21" s="916"/>
      <c r="M21" s="916"/>
      <c r="N21" s="917"/>
    </row>
    <row r="22" spans="1:14" s="451" customFormat="1" ht="24" customHeight="1" x14ac:dyDescent="0.35">
      <c r="A22" s="918" t="s">
        <v>281</v>
      </c>
      <c r="B22" s="920" t="s">
        <v>147</v>
      </c>
      <c r="C22" s="921"/>
      <c r="D22" s="892" t="s">
        <v>531</v>
      </c>
      <c r="E22" s="893"/>
      <c r="F22" s="918" t="s">
        <v>532</v>
      </c>
      <c r="G22" s="918" t="s">
        <v>533</v>
      </c>
      <c r="H22" s="918" t="s">
        <v>534</v>
      </c>
      <c r="I22" s="918" t="s">
        <v>148</v>
      </c>
      <c r="J22" s="918" t="s">
        <v>261</v>
      </c>
      <c r="K22" s="918" t="s">
        <v>527</v>
      </c>
      <c r="L22" s="918" t="s">
        <v>540</v>
      </c>
      <c r="M22" s="920" t="s">
        <v>16</v>
      </c>
      <c r="N22" s="921"/>
    </row>
    <row r="23" spans="1:14" s="451" customFormat="1" ht="22.5" customHeight="1" x14ac:dyDescent="0.35">
      <c r="A23" s="919"/>
      <c r="B23" s="922"/>
      <c r="C23" s="924"/>
      <c r="D23" s="466" t="s">
        <v>536</v>
      </c>
      <c r="E23" s="466" t="s">
        <v>537</v>
      </c>
      <c r="F23" s="919"/>
      <c r="G23" s="919"/>
      <c r="H23" s="919"/>
      <c r="I23" s="919"/>
      <c r="J23" s="919"/>
      <c r="K23" s="919"/>
      <c r="L23" s="919"/>
      <c r="M23" s="922"/>
      <c r="N23" s="923"/>
    </row>
    <row r="24" spans="1:14" s="464" customFormat="1" ht="22.5" customHeight="1" x14ac:dyDescent="0.35">
      <c r="A24" s="462">
        <v>2</v>
      </c>
      <c r="B24" s="475" t="s">
        <v>874</v>
      </c>
      <c r="C24" s="476" t="s">
        <v>873</v>
      </c>
      <c r="D24" s="480"/>
      <c r="E24" s="480"/>
      <c r="F24" s="480"/>
      <c r="G24" s="480"/>
      <c r="H24" s="480"/>
      <c r="I24" s="480"/>
      <c r="J24" s="480"/>
      <c r="K24" s="480"/>
      <c r="L24" s="480"/>
      <c r="M24" s="925" t="s">
        <v>541</v>
      </c>
      <c r="N24" s="926"/>
    </row>
    <row r="25" spans="1:14" s="464" customFormat="1" ht="22.5" customHeight="1" x14ac:dyDescent="0.35">
      <c r="A25" s="479">
        <v>4</v>
      </c>
      <c r="B25" s="915" t="s">
        <v>542</v>
      </c>
      <c r="C25" s="916"/>
      <c r="D25" s="916"/>
      <c r="E25" s="916"/>
      <c r="F25" s="916"/>
      <c r="G25" s="916"/>
      <c r="H25" s="916"/>
      <c r="I25" s="916"/>
      <c r="J25" s="916"/>
      <c r="K25" s="916"/>
      <c r="L25" s="916"/>
      <c r="M25" s="916"/>
      <c r="N25" s="917"/>
    </row>
    <row r="26" spans="1:14" s="451" customFormat="1" ht="22.5" customHeight="1" x14ac:dyDescent="0.35">
      <c r="A26" s="895" t="s">
        <v>281</v>
      </c>
      <c r="B26" s="895" t="s">
        <v>147</v>
      </c>
      <c r="C26" s="895"/>
      <c r="D26" s="895" t="s">
        <v>531</v>
      </c>
      <c r="E26" s="895"/>
      <c r="F26" s="895" t="s">
        <v>532</v>
      </c>
      <c r="G26" s="895" t="s">
        <v>543</v>
      </c>
      <c r="H26" s="895" t="s">
        <v>529</v>
      </c>
      <c r="I26" s="895" t="s">
        <v>544</v>
      </c>
      <c r="J26" s="895"/>
      <c r="K26" s="895"/>
      <c r="L26" s="928" t="s">
        <v>545</v>
      </c>
      <c r="M26" s="895" t="s">
        <v>546</v>
      </c>
      <c r="N26" s="895" t="s">
        <v>16</v>
      </c>
    </row>
    <row r="27" spans="1:14" s="451" customFormat="1" ht="45.65" customHeight="1" x14ac:dyDescent="0.35">
      <c r="A27" s="895"/>
      <c r="B27" s="895"/>
      <c r="C27" s="895"/>
      <c r="D27" s="466" t="s">
        <v>536</v>
      </c>
      <c r="E27" s="466" t="s">
        <v>537</v>
      </c>
      <c r="F27" s="895"/>
      <c r="G27" s="895"/>
      <c r="H27" s="895"/>
      <c r="I27" s="466" t="s">
        <v>547</v>
      </c>
      <c r="J27" s="466" t="s">
        <v>548</v>
      </c>
      <c r="K27" s="466" t="s">
        <v>549</v>
      </c>
      <c r="L27" s="928"/>
      <c r="M27" s="895"/>
      <c r="N27" s="895"/>
    </row>
    <row r="28" spans="1:14" s="456" customFormat="1" ht="19.5" customHeight="1" x14ac:dyDescent="0.35">
      <c r="A28" s="454">
        <v>1</v>
      </c>
      <c r="B28" s="470" t="s">
        <v>876</v>
      </c>
      <c r="C28" s="471" t="s">
        <v>877</v>
      </c>
      <c r="D28" s="454"/>
      <c r="E28" s="454">
        <v>1987</v>
      </c>
      <c r="F28" s="474"/>
      <c r="G28" s="454" t="s">
        <v>903</v>
      </c>
      <c r="H28" s="454" t="s">
        <v>550</v>
      </c>
      <c r="I28" s="454"/>
      <c r="J28" s="454" t="s">
        <v>551</v>
      </c>
      <c r="K28" s="454"/>
      <c r="L28" s="454" t="s">
        <v>907</v>
      </c>
      <c r="M28" s="454"/>
      <c r="N28" s="454"/>
    </row>
    <row r="29" spans="1:14" s="456" customFormat="1" ht="19.5" customHeight="1" x14ac:dyDescent="0.35">
      <c r="A29" s="803">
        <v>2</v>
      </c>
      <c r="B29" s="804" t="s">
        <v>901</v>
      </c>
      <c r="C29" s="805" t="s">
        <v>902</v>
      </c>
      <c r="D29" s="803"/>
      <c r="E29" s="803">
        <v>1991</v>
      </c>
      <c r="F29" s="806"/>
      <c r="G29" s="803" t="s">
        <v>904</v>
      </c>
      <c r="H29" s="803" t="s">
        <v>905</v>
      </c>
      <c r="I29" s="803"/>
      <c r="J29" s="803" t="s">
        <v>906</v>
      </c>
      <c r="K29" s="803"/>
      <c r="L29" s="803" t="s">
        <v>908</v>
      </c>
      <c r="M29" s="803"/>
      <c r="N29" s="803"/>
    </row>
    <row r="30" spans="1:14" s="456" customFormat="1" ht="19.5" customHeight="1" x14ac:dyDescent="0.35">
      <c r="A30" s="803">
        <v>3</v>
      </c>
      <c r="B30" s="804" t="s">
        <v>874</v>
      </c>
      <c r="C30" s="805" t="s">
        <v>873</v>
      </c>
      <c r="D30" s="803"/>
      <c r="E30" s="803">
        <v>1989</v>
      </c>
      <c r="F30" s="806"/>
      <c r="G30" s="803" t="s">
        <v>904</v>
      </c>
      <c r="H30" s="803" t="s">
        <v>905</v>
      </c>
      <c r="I30" s="803"/>
      <c r="J30" s="803" t="s">
        <v>906</v>
      </c>
      <c r="K30" s="803"/>
      <c r="L30" s="803" t="s">
        <v>908</v>
      </c>
      <c r="M30" s="803"/>
      <c r="N30" s="803"/>
    </row>
    <row r="31" spans="1:14" s="456" customFormat="1" ht="19.5" customHeight="1" x14ac:dyDescent="0.35">
      <c r="A31" s="803">
        <v>4</v>
      </c>
      <c r="B31" s="804" t="s">
        <v>538</v>
      </c>
      <c r="C31" s="805" t="s">
        <v>909</v>
      </c>
      <c r="D31" s="803"/>
      <c r="E31" s="803">
        <v>1989</v>
      </c>
      <c r="F31" s="806"/>
      <c r="G31" s="803" t="s">
        <v>904</v>
      </c>
      <c r="H31" s="803" t="s">
        <v>905</v>
      </c>
      <c r="I31" s="803"/>
      <c r="J31" s="803" t="s">
        <v>906</v>
      </c>
      <c r="K31" s="803"/>
      <c r="L31" s="803" t="s">
        <v>908</v>
      </c>
      <c r="M31" s="803"/>
      <c r="N31" s="803"/>
    </row>
    <row r="32" spans="1:14" s="456" customFormat="1" ht="24.65" customHeight="1" x14ac:dyDescent="0.35">
      <c r="A32" s="927" t="s">
        <v>239</v>
      </c>
      <c r="B32" s="927"/>
      <c r="C32" s="927"/>
      <c r="D32" s="927"/>
      <c r="E32" s="927"/>
      <c r="F32" s="927"/>
      <c r="G32" s="927"/>
      <c r="H32" s="927"/>
      <c r="I32" s="461"/>
      <c r="J32" s="461"/>
      <c r="K32" s="461"/>
      <c r="L32" s="462"/>
      <c r="M32" s="462"/>
      <c r="N32" s="462"/>
    </row>
    <row r="33" spans="1:14" s="464" customFormat="1" ht="21.75" customHeight="1" x14ac:dyDescent="0.35">
      <c r="A33" s="479">
        <v>5</v>
      </c>
      <c r="B33" s="929" t="s">
        <v>552</v>
      </c>
      <c r="C33" s="929"/>
      <c r="D33" s="929"/>
      <c r="E33" s="929"/>
      <c r="F33" s="929"/>
      <c r="G33" s="929"/>
      <c r="H33" s="929"/>
      <c r="I33" s="929"/>
      <c r="J33" s="929"/>
      <c r="K33" s="929"/>
      <c r="L33" s="929"/>
      <c r="M33" s="929"/>
      <c r="N33" s="929"/>
    </row>
    <row r="34" spans="1:14" s="451" customFormat="1" ht="20.25" customHeight="1" x14ac:dyDescent="0.35">
      <c r="A34" s="895" t="s">
        <v>281</v>
      </c>
      <c r="B34" s="895" t="s">
        <v>147</v>
      </c>
      <c r="C34" s="895"/>
      <c r="D34" s="895" t="s">
        <v>531</v>
      </c>
      <c r="E34" s="895"/>
      <c r="F34" s="895" t="s">
        <v>532</v>
      </c>
      <c r="G34" s="895" t="s">
        <v>553</v>
      </c>
      <c r="H34" s="895" t="s">
        <v>554</v>
      </c>
      <c r="I34" s="895" t="s">
        <v>555</v>
      </c>
      <c r="J34" s="895"/>
      <c r="K34" s="895"/>
      <c r="L34" s="895" t="s">
        <v>556</v>
      </c>
      <c r="M34" s="895" t="s">
        <v>557</v>
      </c>
      <c r="N34" s="895" t="s">
        <v>16</v>
      </c>
    </row>
    <row r="35" spans="1:14" s="451" customFormat="1" ht="34.9" customHeight="1" x14ac:dyDescent="0.35">
      <c r="A35" s="895"/>
      <c r="B35" s="895"/>
      <c r="C35" s="895"/>
      <c r="D35" s="466" t="s">
        <v>536</v>
      </c>
      <c r="E35" s="466" t="s">
        <v>537</v>
      </c>
      <c r="F35" s="895"/>
      <c r="G35" s="895"/>
      <c r="H35" s="895"/>
      <c r="I35" s="466" t="s">
        <v>558</v>
      </c>
      <c r="J35" s="466" t="s">
        <v>548</v>
      </c>
      <c r="K35" s="466" t="s">
        <v>549</v>
      </c>
      <c r="L35" s="895"/>
      <c r="M35" s="895"/>
      <c r="N35" s="895"/>
    </row>
    <row r="36" spans="1:14" s="456" customFormat="1" ht="37.9" customHeight="1" x14ac:dyDescent="0.35">
      <c r="A36" s="454"/>
      <c r="B36" s="470"/>
      <c r="C36" s="471"/>
      <c r="D36" s="454"/>
      <c r="E36" s="454"/>
      <c r="F36" s="474"/>
      <c r="G36" s="454"/>
      <c r="H36" s="454"/>
      <c r="I36" s="454"/>
      <c r="J36" s="454"/>
      <c r="K36" s="454"/>
      <c r="L36" s="454"/>
      <c r="M36" s="454"/>
      <c r="N36" s="454"/>
    </row>
    <row r="37" spans="1:14" s="456" customFormat="1" ht="20.149999999999999" customHeight="1" x14ac:dyDescent="0.35">
      <c r="A37" s="459"/>
      <c r="B37" s="481"/>
      <c r="C37" s="482"/>
      <c r="D37" s="459"/>
      <c r="E37" s="459"/>
      <c r="F37" s="483"/>
      <c r="G37" s="459"/>
      <c r="H37" s="459"/>
      <c r="I37" s="459"/>
      <c r="J37" s="459"/>
      <c r="K37" s="459"/>
      <c r="L37" s="484"/>
      <c r="M37" s="459"/>
      <c r="N37" s="459"/>
    </row>
    <row r="38" spans="1:14" s="456" customFormat="1" ht="36.65" customHeight="1" x14ac:dyDescent="0.35">
      <c r="A38" s="459"/>
      <c r="B38" s="481"/>
      <c r="C38" s="482"/>
      <c r="D38" s="483"/>
      <c r="E38" s="483"/>
      <c r="F38" s="483"/>
      <c r="G38" s="459"/>
      <c r="H38" s="459"/>
      <c r="I38" s="459"/>
      <c r="J38" s="459"/>
      <c r="K38" s="459"/>
      <c r="L38" s="459"/>
      <c r="M38" s="459"/>
      <c r="N38" s="459"/>
    </row>
    <row r="39" spans="1:14" s="456" customFormat="1" ht="36.75" customHeight="1" x14ac:dyDescent="0.35">
      <c r="A39" s="459"/>
      <c r="B39" s="481"/>
      <c r="C39" s="482"/>
      <c r="D39" s="483"/>
      <c r="E39" s="483"/>
      <c r="F39" s="483"/>
      <c r="G39" s="459"/>
      <c r="H39" s="459"/>
      <c r="I39" s="459"/>
      <c r="J39" s="459"/>
      <c r="K39" s="459"/>
      <c r="L39" s="459"/>
      <c r="M39" s="459"/>
      <c r="N39" s="459"/>
    </row>
    <row r="40" spans="1:14" s="456" customFormat="1" ht="20.149999999999999" customHeight="1" x14ac:dyDescent="0.35">
      <c r="A40" s="459">
        <v>5</v>
      </c>
      <c r="B40" s="481"/>
      <c r="C40" s="482"/>
      <c r="D40" s="483"/>
      <c r="E40" s="483"/>
      <c r="F40" s="483"/>
      <c r="G40" s="459" t="s">
        <v>559</v>
      </c>
      <c r="H40" s="459"/>
      <c r="I40" s="459"/>
      <c r="J40" s="459"/>
      <c r="K40" s="459"/>
      <c r="L40" s="459"/>
      <c r="M40" s="459"/>
      <c r="N40" s="459"/>
    </row>
    <row r="41" spans="1:14" s="456" customFormat="1" ht="20.149999999999999" customHeight="1" x14ac:dyDescent="0.35">
      <c r="A41" s="927" t="s">
        <v>239</v>
      </c>
      <c r="B41" s="927"/>
      <c r="C41" s="927"/>
      <c r="D41" s="927"/>
      <c r="E41" s="927"/>
      <c r="F41" s="927"/>
      <c r="G41" s="927"/>
      <c r="H41" s="927"/>
      <c r="I41" s="461"/>
      <c r="J41" s="461"/>
      <c r="K41" s="461"/>
      <c r="L41" s="462"/>
      <c r="M41" s="462"/>
      <c r="N41" s="485"/>
    </row>
    <row r="42" spans="1:14" s="464" customFormat="1" ht="25.9" customHeight="1" x14ac:dyDescent="0.35">
      <c r="A42" s="479">
        <v>6</v>
      </c>
      <c r="B42" s="929" t="s">
        <v>560</v>
      </c>
      <c r="C42" s="929"/>
      <c r="D42" s="929"/>
      <c r="E42" s="929"/>
      <c r="F42" s="929"/>
      <c r="G42" s="929"/>
      <c r="H42" s="929"/>
      <c r="I42" s="929"/>
      <c r="J42" s="929"/>
      <c r="K42" s="929"/>
      <c r="L42" s="929"/>
      <c r="M42" s="929"/>
      <c r="N42" s="929"/>
    </row>
    <row r="43" spans="1:14" s="451" customFormat="1" ht="15.65" customHeight="1" x14ac:dyDescent="0.35">
      <c r="A43" s="895" t="s">
        <v>281</v>
      </c>
      <c r="B43" s="895" t="s">
        <v>147</v>
      </c>
      <c r="C43" s="895"/>
      <c r="D43" s="895" t="s">
        <v>531</v>
      </c>
      <c r="E43" s="895"/>
      <c r="F43" s="895" t="s">
        <v>532</v>
      </c>
      <c r="G43" s="895" t="s">
        <v>561</v>
      </c>
      <c r="H43" s="895" t="s">
        <v>562</v>
      </c>
      <c r="I43" s="895" t="s">
        <v>563</v>
      </c>
      <c r="J43" s="895"/>
      <c r="K43" s="895"/>
      <c r="L43" s="895" t="s">
        <v>556</v>
      </c>
      <c r="M43" s="895" t="s">
        <v>557</v>
      </c>
      <c r="N43" s="895" t="s">
        <v>16</v>
      </c>
    </row>
    <row r="44" spans="1:14" s="451" customFormat="1" ht="45" customHeight="1" x14ac:dyDescent="0.35">
      <c r="A44" s="895"/>
      <c r="B44" s="895"/>
      <c r="C44" s="895"/>
      <c r="D44" s="466" t="s">
        <v>536</v>
      </c>
      <c r="E44" s="466" t="s">
        <v>537</v>
      </c>
      <c r="F44" s="895"/>
      <c r="G44" s="895"/>
      <c r="H44" s="895"/>
      <c r="I44" s="466" t="s">
        <v>558</v>
      </c>
      <c r="J44" s="466" t="s">
        <v>548</v>
      </c>
      <c r="K44" s="466" t="s">
        <v>549</v>
      </c>
      <c r="L44" s="895"/>
      <c r="M44" s="895"/>
      <c r="N44" s="895"/>
    </row>
    <row r="45" spans="1:14" s="456" customFormat="1" ht="33" customHeight="1" x14ac:dyDescent="0.35">
      <c r="A45" s="454">
        <v>1</v>
      </c>
      <c r="B45" s="470"/>
      <c r="C45" s="471"/>
      <c r="D45" s="454"/>
      <c r="E45" s="454"/>
      <c r="F45" s="474"/>
      <c r="G45" s="454"/>
      <c r="H45" s="486"/>
      <c r="I45" s="454"/>
      <c r="J45" s="454"/>
      <c r="K45" s="454"/>
      <c r="L45" s="454"/>
      <c r="M45" s="454"/>
      <c r="N45" s="454"/>
    </row>
    <row r="46" spans="1:14" s="456" customFormat="1" ht="28.15" customHeight="1" x14ac:dyDescent="0.35">
      <c r="A46" s="459">
        <v>2</v>
      </c>
      <c r="B46" s="481"/>
      <c r="C46" s="482"/>
      <c r="D46" s="459"/>
      <c r="E46" s="459"/>
      <c r="F46" s="483"/>
      <c r="G46" s="459"/>
      <c r="H46" s="487"/>
      <c r="I46" s="459"/>
      <c r="J46" s="459"/>
      <c r="K46" s="459"/>
      <c r="L46" s="459"/>
      <c r="M46" s="459"/>
      <c r="N46" s="459"/>
    </row>
    <row r="47" spans="1:14" s="456" customFormat="1" ht="33" customHeight="1" x14ac:dyDescent="0.35">
      <c r="A47" s="459">
        <v>3</v>
      </c>
      <c r="B47" s="481"/>
      <c r="C47" s="482"/>
      <c r="D47" s="459"/>
      <c r="E47" s="483"/>
      <c r="F47" s="483"/>
      <c r="G47" s="459"/>
      <c r="H47" s="487"/>
      <c r="I47" s="459"/>
      <c r="J47" s="459"/>
      <c r="K47" s="459"/>
      <c r="L47" s="459"/>
      <c r="M47" s="459"/>
      <c r="N47" s="459"/>
    </row>
    <row r="48" spans="1:14" s="456" customFormat="1" ht="20.149999999999999" customHeight="1" x14ac:dyDescent="0.35">
      <c r="A48" s="930" t="s">
        <v>239</v>
      </c>
      <c r="B48" s="931"/>
      <c r="C48" s="931"/>
      <c r="D48" s="931"/>
      <c r="E48" s="931"/>
      <c r="F48" s="931"/>
      <c r="G48" s="931"/>
      <c r="H48" s="932"/>
      <c r="I48" s="461"/>
      <c r="J48" s="461"/>
      <c r="K48" s="461"/>
      <c r="L48" s="462"/>
      <c r="M48" s="462"/>
      <c r="N48" s="485"/>
    </row>
    <row r="49" spans="1:14" s="488" customFormat="1" ht="27" customHeight="1" x14ac:dyDescent="0.4">
      <c r="A49" s="479">
        <v>7</v>
      </c>
      <c r="B49" s="915" t="s">
        <v>564</v>
      </c>
      <c r="C49" s="916"/>
      <c r="D49" s="916"/>
      <c r="E49" s="916"/>
      <c r="F49" s="916"/>
      <c r="G49" s="916"/>
      <c r="H49" s="916"/>
      <c r="I49" s="916"/>
      <c r="J49" s="916"/>
      <c r="K49" s="916"/>
      <c r="L49" s="916"/>
      <c r="M49" s="916"/>
      <c r="N49" s="917"/>
    </row>
    <row r="50" spans="1:14" s="489" customFormat="1" ht="46.5" customHeight="1" x14ac:dyDescent="0.3">
      <c r="A50" s="918" t="s">
        <v>281</v>
      </c>
      <c r="B50" s="920" t="s">
        <v>147</v>
      </c>
      <c r="C50" s="921"/>
      <c r="D50" s="895" t="s">
        <v>531</v>
      </c>
      <c r="E50" s="895"/>
      <c r="F50" s="918" t="s">
        <v>532</v>
      </c>
      <c r="G50" s="918" t="s">
        <v>527</v>
      </c>
      <c r="H50" s="920" t="s">
        <v>565</v>
      </c>
      <c r="I50" s="921"/>
      <c r="J50" s="920" t="s">
        <v>566</v>
      </c>
      <c r="K50" s="921"/>
      <c r="L50" s="895" t="s">
        <v>567</v>
      </c>
      <c r="M50" s="895"/>
      <c r="N50" s="466" t="s">
        <v>16</v>
      </c>
    </row>
    <row r="51" spans="1:14" s="489" customFormat="1" ht="31.5" customHeight="1" x14ac:dyDescent="0.3">
      <c r="A51" s="919"/>
      <c r="B51" s="922"/>
      <c r="C51" s="923"/>
      <c r="D51" s="466" t="s">
        <v>536</v>
      </c>
      <c r="E51" s="466" t="s">
        <v>537</v>
      </c>
      <c r="F51" s="919"/>
      <c r="G51" s="919"/>
      <c r="H51" s="922"/>
      <c r="I51" s="923"/>
      <c r="J51" s="922"/>
      <c r="K51" s="923"/>
      <c r="L51" s="466" t="s">
        <v>148</v>
      </c>
      <c r="M51" s="466" t="s">
        <v>568</v>
      </c>
      <c r="N51" s="466"/>
    </row>
    <row r="52" spans="1:14" s="456" customFormat="1" ht="20.149999999999999" customHeight="1" x14ac:dyDescent="0.35">
      <c r="A52" s="454">
        <v>1</v>
      </c>
      <c r="B52" s="470" t="s">
        <v>878</v>
      </c>
      <c r="C52" s="471" t="s">
        <v>872</v>
      </c>
      <c r="D52" s="455"/>
      <c r="E52" s="455"/>
      <c r="F52" s="455"/>
      <c r="G52" s="474"/>
      <c r="H52" s="938"/>
      <c r="I52" s="938"/>
      <c r="J52" s="939" t="s">
        <v>851</v>
      </c>
      <c r="K52" s="939"/>
      <c r="L52" s="454" t="s">
        <v>852</v>
      </c>
      <c r="M52" s="454"/>
      <c r="N52" s="455"/>
    </row>
    <row r="53" spans="1:14" s="456" customFormat="1" ht="20.149999999999999" customHeight="1" x14ac:dyDescent="0.35">
      <c r="A53" s="459"/>
      <c r="B53" s="481"/>
      <c r="C53" s="482"/>
      <c r="D53" s="460"/>
      <c r="E53" s="460"/>
      <c r="F53" s="460"/>
      <c r="G53" s="483"/>
      <c r="H53" s="940"/>
      <c r="I53" s="940"/>
      <c r="J53" s="941"/>
      <c r="K53" s="941"/>
      <c r="L53" s="459"/>
      <c r="M53" s="459"/>
      <c r="N53" s="460"/>
    </row>
    <row r="54" spans="1:14" s="456" customFormat="1" ht="20.149999999999999" customHeight="1" x14ac:dyDescent="0.35">
      <c r="A54" s="462"/>
      <c r="B54" s="475"/>
      <c r="C54" s="476"/>
      <c r="D54" s="485"/>
      <c r="E54" s="485"/>
      <c r="F54" s="485"/>
      <c r="G54" s="490"/>
      <c r="H54" s="927"/>
      <c r="I54" s="927"/>
      <c r="J54" s="942"/>
      <c r="K54" s="942"/>
      <c r="L54" s="462"/>
      <c r="M54" s="462"/>
      <c r="N54" s="485"/>
    </row>
    <row r="55" spans="1:14" ht="22.15" customHeight="1" x14ac:dyDescent="0.4">
      <c r="A55" s="491"/>
      <c r="B55" s="491"/>
      <c r="C55" s="491"/>
      <c r="D55" s="491"/>
      <c r="E55" s="491"/>
      <c r="F55" s="491"/>
      <c r="G55" s="491"/>
      <c r="H55" s="491"/>
      <c r="I55" s="491"/>
      <c r="J55" s="491"/>
      <c r="K55" s="933" t="s">
        <v>569</v>
      </c>
      <c r="L55" s="934"/>
      <c r="M55" s="934"/>
      <c r="N55" s="934"/>
    </row>
    <row r="56" spans="1:14" ht="21.65" customHeight="1" x14ac:dyDescent="0.4">
      <c r="A56" s="491"/>
      <c r="B56" s="491"/>
      <c r="C56" s="491"/>
      <c r="D56" s="491"/>
      <c r="E56" s="491"/>
      <c r="F56" s="491"/>
      <c r="G56" s="491"/>
      <c r="H56" s="491"/>
      <c r="I56" s="491"/>
      <c r="J56" s="491"/>
      <c r="K56" s="935" t="s">
        <v>43</v>
      </c>
      <c r="L56" s="936"/>
      <c r="M56" s="936"/>
      <c r="N56" s="936"/>
    </row>
    <row r="57" spans="1:14" ht="50.5" customHeight="1" x14ac:dyDescent="0.3">
      <c r="A57" s="492" t="s">
        <v>570</v>
      </c>
      <c r="B57" s="937" t="s">
        <v>571</v>
      </c>
      <c r="C57" s="937"/>
      <c r="D57" s="937"/>
      <c r="E57" s="937"/>
      <c r="F57" s="937"/>
      <c r="G57" s="937"/>
      <c r="H57" s="937"/>
      <c r="I57" s="937"/>
      <c r="J57" s="937"/>
      <c r="K57" s="937"/>
      <c r="L57" s="937"/>
      <c r="M57" s="937"/>
      <c r="N57" s="937"/>
    </row>
  </sheetData>
  <mergeCells count="113">
    <mergeCell ref="K55:N55"/>
    <mergeCell ref="K56:N56"/>
    <mergeCell ref="B57:N57"/>
    <mergeCell ref="L50:M50"/>
    <mergeCell ref="H52:I52"/>
    <mergeCell ref="J52:K52"/>
    <mergeCell ref="H53:I53"/>
    <mergeCell ref="J53:K53"/>
    <mergeCell ref="H54:I54"/>
    <mergeCell ref="J54:K54"/>
    <mergeCell ref="A48:H48"/>
    <mergeCell ref="B49:N49"/>
    <mergeCell ref="A50:A51"/>
    <mergeCell ref="B50:C51"/>
    <mergeCell ref="D50:E50"/>
    <mergeCell ref="F50:F51"/>
    <mergeCell ref="G50:G51"/>
    <mergeCell ref="H50:I51"/>
    <mergeCell ref="J50:K51"/>
    <mergeCell ref="B42:N42"/>
    <mergeCell ref="A43:A44"/>
    <mergeCell ref="B43:C44"/>
    <mergeCell ref="D43:E43"/>
    <mergeCell ref="F43:F44"/>
    <mergeCell ref="G43:G44"/>
    <mergeCell ref="H43:H44"/>
    <mergeCell ref="I43:K43"/>
    <mergeCell ref="L43:L44"/>
    <mergeCell ref="M43:M44"/>
    <mergeCell ref="N43:N44"/>
    <mergeCell ref="H34:H35"/>
    <mergeCell ref="I34:K34"/>
    <mergeCell ref="L34:L35"/>
    <mergeCell ref="M34:M35"/>
    <mergeCell ref="N34:N35"/>
    <mergeCell ref="A41:H41"/>
    <mergeCell ref="L26:L27"/>
    <mergeCell ref="M26:M27"/>
    <mergeCell ref="N26:N27"/>
    <mergeCell ref="A32:H32"/>
    <mergeCell ref="B33:N33"/>
    <mergeCell ref="A34:A35"/>
    <mergeCell ref="B34:C35"/>
    <mergeCell ref="D34:E34"/>
    <mergeCell ref="F34:F35"/>
    <mergeCell ref="G34:G35"/>
    <mergeCell ref="M20:N20"/>
    <mergeCell ref="B21:N21"/>
    <mergeCell ref="M24:N24"/>
    <mergeCell ref="B25:N25"/>
    <mergeCell ref="A26:A27"/>
    <mergeCell ref="B26:C27"/>
    <mergeCell ref="D26:E26"/>
    <mergeCell ref="F26:F27"/>
    <mergeCell ref="G26:G27"/>
    <mergeCell ref="H26:H27"/>
    <mergeCell ref="I26:K26"/>
    <mergeCell ref="A22:A23"/>
    <mergeCell ref="B22:C23"/>
    <mergeCell ref="D22:E22"/>
    <mergeCell ref="F22:F23"/>
    <mergeCell ref="G22:G23"/>
    <mergeCell ref="H22:H23"/>
    <mergeCell ref="I22:I23"/>
    <mergeCell ref="J22:J23"/>
    <mergeCell ref="K22:K23"/>
    <mergeCell ref="L22:L23"/>
    <mergeCell ref="M22:N23"/>
    <mergeCell ref="A17:A18"/>
    <mergeCell ref="B17:C18"/>
    <mergeCell ref="D17:E17"/>
    <mergeCell ref="F17:F18"/>
    <mergeCell ref="G17:G18"/>
    <mergeCell ref="H17:H18"/>
    <mergeCell ref="I17:I18"/>
    <mergeCell ref="J17:J18"/>
    <mergeCell ref="K17:K18"/>
    <mergeCell ref="M19:N19"/>
    <mergeCell ref="B14:C14"/>
    <mergeCell ref="E14:F14"/>
    <mergeCell ref="G14:I14"/>
    <mergeCell ref="J14:L14"/>
    <mergeCell ref="M14:N14"/>
    <mergeCell ref="B15:C15"/>
    <mergeCell ref="E15:F15"/>
    <mergeCell ref="G15:I15"/>
    <mergeCell ref="J15:L15"/>
    <mergeCell ref="M15:N15"/>
    <mergeCell ref="B16:N16"/>
    <mergeCell ref="L17:L18"/>
    <mergeCell ref="M17:N18"/>
    <mergeCell ref="B12:C12"/>
    <mergeCell ref="E12:F12"/>
    <mergeCell ref="G12:I12"/>
    <mergeCell ref="J12:L12"/>
    <mergeCell ref="M12:N12"/>
    <mergeCell ref="B13:C13"/>
    <mergeCell ref="E13:F13"/>
    <mergeCell ref="G13:I13"/>
    <mergeCell ref="J13:L13"/>
    <mergeCell ref="M13:N13"/>
    <mergeCell ref="B3:F3"/>
    <mergeCell ref="G3:M3"/>
    <mergeCell ref="B4:F4"/>
    <mergeCell ref="G4:M4"/>
    <mergeCell ref="B6:F6"/>
    <mergeCell ref="A8:N8"/>
    <mergeCell ref="B10:N10"/>
    <mergeCell ref="B11:C11"/>
    <mergeCell ref="E11:F11"/>
    <mergeCell ref="G11:I11"/>
    <mergeCell ref="J11:L11"/>
    <mergeCell ref="M11:N11"/>
  </mergeCells>
  <pageMargins left="0.45" right="0.17" top="0.47" bottom="0.19" header="0.3" footer="0.3"/>
  <pageSetup paperSize="9" scale="88"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CC7B6-19BC-4213-A370-5B4C4A45D0F5}">
  <sheetPr>
    <pageSetUpPr fitToPage="1"/>
  </sheetPr>
  <dimension ref="A1:G49"/>
  <sheetViews>
    <sheetView tabSelected="1" workbookViewId="0">
      <selection activeCell="C1" sqref="C1"/>
    </sheetView>
  </sheetViews>
  <sheetFormatPr defaultColWidth="9" defaultRowHeight="13" x14ac:dyDescent="0.35"/>
  <cols>
    <col min="1" max="1" width="5.90625" style="225" customWidth="1"/>
    <col min="2" max="2" width="43.6328125" style="225" customWidth="1"/>
    <col min="3" max="3" width="11.90625" style="225" customWidth="1"/>
    <col min="4" max="4" width="12.26953125" style="225" customWidth="1"/>
    <col min="5" max="5" width="19.36328125" style="225" customWidth="1"/>
    <col min="6" max="6" width="9" style="225"/>
    <col min="7" max="7" width="102.08984375" style="225" customWidth="1"/>
    <col min="8" max="16384" width="9" style="225"/>
  </cols>
  <sheetData>
    <row r="1" spans="1:7" ht="15.5" x14ac:dyDescent="0.35">
      <c r="A1" s="379" t="s">
        <v>243</v>
      </c>
      <c r="B1" s="381"/>
      <c r="C1" s="382"/>
      <c r="D1" s="382"/>
      <c r="E1" s="229" t="s">
        <v>262</v>
      </c>
    </row>
    <row r="2" spans="1:7" ht="15.5" x14ac:dyDescent="0.35">
      <c r="A2" s="380" t="s">
        <v>245</v>
      </c>
      <c r="B2" s="381"/>
      <c r="C2" s="382"/>
      <c r="D2" s="382"/>
      <c r="E2" s="235"/>
    </row>
    <row r="3" spans="1:7" ht="24.65" customHeight="1" x14ac:dyDescent="0.35">
      <c r="A3" s="818" t="s">
        <v>622</v>
      </c>
      <c r="B3" s="818"/>
      <c r="C3" s="818"/>
      <c r="D3" s="818"/>
      <c r="E3" s="818"/>
    </row>
    <row r="4" spans="1:7" ht="13.5" thickBot="1" x14ac:dyDescent="0.4">
      <c r="A4" s="383"/>
      <c r="B4" s="383"/>
      <c r="C4" s="227"/>
      <c r="D4" s="227"/>
      <c r="E4" s="198"/>
    </row>
    <row r="5" spans="1:7" ht="41.25" customHeight="1" thickTop="1" x14ac:dyDescent="0.35">
      <c r="A5" s="230" t="s">
        <v>5</v>
      </c>
      <c r="B5" s="231" t="s">
        <v>264</v>
      </c>
      <c r="C5" s="232" t="s">
        <v>265</v>
      </c>
      <c r="D5" s="232" t="s">
        <v>266</v>
      </c>
      <c r="E5" s="233" t="s">
        <v>16</v>
      </c>
      <c r="G5" s="334"/>
    </row>
    <row r="6" spans="1:7" ht="36.75" customHeight="1" x14ac:dyDescent="0.35">
      <c r="A6" s="384" t="s">
        <v>19</v>
      </c>
      <c r="B6" s="385" t="s">
        <v>267</v>
      </c>
      <c r="C6" s="386"/>
      <c r="D6" s="387"/>
      <c r="E6" s="388"/>
      <c r="G6" s="504" t="s">
        <v>615</v>
      </c>
    </row>
    <row r="7" spans="1:7" ht="19" customHeight="1" x14ac:dyDescent="0.35">
      <c r="A7" s="389">
        <v>1</v>
      </c>
      <c r="B7" s="390" t="s">
        <v>268</v>
      </c>
      <c r="C7" s="391"/>
      <c r="D7" s="392"/>
      <c r="E7" s="393"/>
    </row>
    <row r="8" spans="1:7" ht="19" customHeight="1" x14ac:dyDescent="0.35">
      <c r="A8" s="389"/>
      <c r="B8" s="399" t="s">
        <v>664</v>
      </c>
      <c r="C8" s="391"/>
      <c r="D8" s="392"/>
      <c r="E8" s="393"/>
    </row>
    <row r="9" spans="1:7" ht="19" customHeight="1" x14ac:dyDescent="0.35">
      <c r="A9" s="389">
        <v>2</v>
      </c>
      <c r="B9" s="390" t="s">
        <v>269</v>
      </c>
      <c r="C9" s="391"/>
      <c r="D9" s="392"/>
      <c r="E9" s="393"/>
    </row>
    <row r="10" spans="1:7" ht="19" customHeight="1" x14ac:dyDescent="0.35">
      <c r="A10" s="389"/>
      <c r="B10" s="399" t="s">
        <v>664</v>
      </c>
      <c r="C10" s="391"/>
      <c r="D10" s="392"/>
      <c r="E10" s="393"/>
    </row>
    <row r="11" spans="1:7" ht="19" customHeight="1" x14ac:dyDescent="0.35">
      <c r="A11" s="389">
        <v>3</v>
      </c>
      <c r="B11" s="390" t="s">
        <v>270</v>
      </c>
      <c r="C11" s="391"/>
      <c r="D11" s="392"/>
      <c r="E11" s="393"/>
    </row>
    <row r="12" spans="1:7" ht="19" customHeight="1" x14ac:dyDescent="0.35">
      <c r="A12" s="389"/>
      <c r="B12" s="399" t="s">
        <v>664</v>
      </c>
      <c r="C12" s="394"/>
      <c r="D12" s="395"/>
      <c r="E12" s="396"/>
    </row>
    <row r="13" spans="1:7" ht="37.5" customHeight="1" x14ac:dyDescent="0.35">
      <c r="A13" s="397" t="s">
        <v>41</v>
      </c>
      <c r="B13" s="385" t="s">
        <v>271</v>
      </c>
      <c r="C13" s="398"/>
      <c r="D13" s="395"/>
      <c r="E13" s="396"/>
    </row>
    <row r="14" spans="1:7" ht="19" customHeight="1" x14ac:dyDescent="0.35">
      <c r="A14" s="389"/>
      <c r="B14" s="399" t="s">
        <v>664</v>
      </c>
      <c r="C14" s="400"/>
      <c r="D14" s="395"/>
      <c r="E14" s="396"/>
    </row>
    <row r="15" spans="1:7" ht="19" customHeight="1" x14ac:dyDescent="0.35">
      <c r="A15" s="389"/>
      <c r="B15" s="399" t="s">
        <v>664</v>
      </c>
      <c r="C15" s="390"/>
      <c r="D15" s="395"/>
      <c r="E15" s="396"/>
    </row>
    <row r="16" spans="1:7" ht="49" customHeight="1" x14ac:dyDescent="0.35">
      <c r="A16" s="397" t="s">
        <v>70</v>
      </c>
      <c r="B16" s="385" t="s">
        <v>660</v>
      </c>
      <c r="C16" s="385"/>
      <c r="D16" s="395"/>
      <c r="E16" s="396"/>
    </row>
    <row r="17" spans="1:7" ht="35" customHeight="1" x14ac:dyDescent="0.35">
      <c r="A17" s="389">
        <v>1</v>
      </c>
      <c r="B17" s="390" t="s">
        <v>910</v>
      </c>
      <c r="C17" s="390" t="s">
        <v>911</v>
      </c>
      <c r="D17" s="802">
        <v>30000000</v>
      </c>
      <c r="E17" s="396"/>
    </row>
    <row r="18" spans="1:7" ht="33" customHeight="1" x14ac:dyDescent="0.35">
      <c r="A18" s="397" t="s">
        <v>272</v>
      </c>
      <c r="B18" s="385" t="s">
        <v>474</v>
      </c>
      <c r="C18" s="385"/>
      <c r="D18" s="395"/>
      <c r="E18" s="401"/>
    </row>
    <row r="19" spans="1:7" ht="28" x14ac:dyDescent="0.35">
      <c r="A19" s="389">
        <v>1</v>
      </c>
      <c r="B19" s="795" t="s">
        <v>879</v>
      </c>
      <c r="C19" s="390"/>
      <c r="D19" s="802">
        <v>10000</v>
      </c>
      <c r="E19" s="396"/>
    </row>
    <row r="20" spans="1:7" ht="42" x14ac:dyDescent="0.35">
      <c r="A20" s="389">
        <v>2</v>
      </c>
      <c r="B20" s="795" t="s">
        <v>880</v>
      </c>
      <c r="C20" s="390"/>
      <c r="D20" s="802">
        <v>10000</v>
      </c>
      <c r="E20" s="396"/>
    </row>
    <row r="21" spans="1:7" s="404" customFormat="1" ht="19" customHeight="1" x14ac:dyDescent="0.35">
      <c r="A21" s="397" t="s">
        <v>273</v>
      </c>
      <c r="B21" s="385" t="s">
        <v>475</v>
      </c>
      <c r="C21" s="402"/>
      <c r="D21" s="403"/>
      <c r="E21" s="401"/>
    </row>
    <row r="22" spans="1:7" ht="19" customHeight="1" x14ac:dyDescent="0.35">
      <c r="A22" s="397"/>
      <c r="B22" s="399" t="s">
        <v>664</v>
      </c>
      <c r="C22" s="385"/>
      <c r="D22" s="395"/>
      <c r="E22" s="396"/>
    </row>
    <row r="23" spans="1:7" ht="19" customHeight="1" x14ac:dyDescent="0.35">
      <c r="A23" s="397" t="s">
        <v>274</v>
      </c>
      <c r="B23" s="385" t="s">
        <v>476</v>
      </c>
      <c r="C23" s="385"/>
      <c r="D23" s="395"/>
      <c r="E23" s="396"/>
    </row>
    <row r="24" spans="1:7" ht="72.75" customHeight="1" x14ac:dyDescent="0.35">
      <c r="A24" s="389" t="s">
        <v>574</v>
      </c>
      <c r="B24" s="405" t="s">
        <v>665</v>
      </c>
      <c r="C24" s="390"/>
      <c r="D24" s="395"/>
      <c r="E24" s="396"/>
    </row>
    <row r="25" spans="1:7" ht="44.25" customHeight="1" x14ac:dyDescent="0.35">
      <c r="A25" s="389"/>
      <c r="B25" s="405" t="s">
        <v>623</v>
      </c>
      <c r="C25" s="390"/>
      <c r="D25" s="395"/>
      <c r="E25" s="396"/>
      <c r="G25" s="405"/>
    </row>
    <row r="26" spans="1:7" ht="44.25" customHeight="1" x14ac:dyDescent="0.35">
      <c r="A26" s="389"/>
      <c r="B26" s="405" t="s">
        <v>623</v>
      </c>
      <c r="C26" s="390"/>
      <c r="D26" s="395"/>
      <c r="E26" s="396"/>
    </row>
    <row r="27" spans="1:7" ht="69.650000000000006" customHeight="1" x14ac:dyDescent="0.35">
      <c r="A27" s="389" t="s">
        <v>575</v>
      </c>
      <c r="B27" s="405" t="s">
        <v>625</v>
      </c>
      <c r="C27" s="390"/>
      <c r="D27" s="395"/>
      <c r="E27" s="525" t="s">
        <v>626</v>
      </c>
      <c r="G27" s="224"/>
    </row>
    <row r="28" spans="1:7" ht="22.5" customHeight="1" x14ac:dyDescent="0.35">
      <c r="A28" s="389"/>
      <c r="B28" s="399" t="s">
        <v>664</v>
      </c>
      <c r="C28" s="390"/>
      <c r="D28" s="395"/>
      <c r="E28" s="396"/>
      <c r="G28" s="224"/>
    </row>
    <row r="29" spans="1:7" ht="19" customHeight="1" x14ac:dyDescent="0.35">
      <c r="A29" s="389" t="s">
        <v>624</v>
      </c>
      <c r="B29" s="405" t="s">
        <v>477</v>
      </c>
      <c r="C29" s="390"/>
      <c r="D29" s="395"/>
      <c r="E29" s="396"/>
    </row>
    <row r="30" spans="1:7" ht="19" customHeight="1" x14ac:dyDescent="0.35">
      <c r="A30" s="397" t="s">
        <v>472</v>
      </c>
      <c r="B30" s="385" t="s">
        <v>478</v>
      </c>
      <c r="C30" s="385"/>
      <c r="D30" s="395"/>
      <c r="E30" s="396"/>
    </row>
    <row r="31" spans="1:7" ht="19" customHeight="1" x14ac:dyDescent="0.35">
      <c r="A31" s="389" t="s">
        <v>103</v>
      </c>
      <c r="B31" s="390" t="s">
        <v>479</v>
      </c>
      <c r="C31" s="390"/>
      <c r="D31" s="395"/>
      <c r="E31" s="396"/>
    </row>
    <row r="32" spans="1:7" ht="19" customHeight="1" x14ac:dyDescent="0.35">
      <c r="A32" s="389" t="s">
        <v>112</v>
      </c>
      <c r="B32" s="390" t="s">
        <v>480</v>
      </c>
      <c r="C32" s="390"/>
      <c r="D32" s="395"/>
      <c r="E32" s="396"/>
    </row>
    <row r="33" spans="1:6" ht="19" customHeight="1" x14ac:dyDescent="0.35">
      <c r="A33" s="389" t="s">
        <v>121</v>
      </c>
      <c r="B33" s="390" t="s">
        <v>481</v>
      </c>
      <c r="C33" s="390"/>
      <c r="D33" s="395"/>
      <c r="E33" s="396"/>
    </row>
    <row r="34" spans="1:6" s="644" customFormat="1" ht="55" customHeight="1" x14ac:dyDescent="0.35">
      <c r="A34" s="639" t="s">
        <v>629</v>
      </c>
      <c r="B34" s="640" t="s">
        <v>661</v>
      </c>
      <c r="C34" s="641"/>
      <c r="D34" s="642"/>
      <c r="E34" s="643"/>
    </row>
    <row r="35" spans="1:6" s="644" customFormat="1" ht="19" customHeight="1" x14ac:dyDescent="0.35">
      <c r="A35" s="645">
        <v>1</v>
      </c>
      <c r="B35" s="641" t="s">
        <v>662</v>
      </c>
      <c r="C35" s="641"/>
      <c r="D35" s="642"/>
      <c r="E35" s="643"/>
    </row>
    <row r="36" spans="1:6" s="644" customFormat="1" ht="19" customHeight="1" x14ac:dyDescent="0.35">
      <c r="A36" s="646">
        <v>2</v>
      </c>
      <c r="B36" s="647" t="s">
        <v>663</v>
      </c>
      <c r="C36" s="647"/>
      <c r="D36" s="648"/>
      <c r="E36" s="649"/>
    </row>
    <row r="37" spans="1:6" ht="39" customHeight="1" thickBot="1" x14ac:dyDescent="0.4">
      <c r="A37" s="406"/>
      <c r="B37" s="407" t="s">
        <v>239</v>
      </c>
      <c r="C37" s="408"/>
      <c r="D37" s="409"/>
      <c r="E37" s="410"/>
    </row>
    <row r="38" spans="1:6" ht="32.25" customHeight="1" thickTop="1" x14ac:dyDescent="0.35">
      <c r="A38" s="411"/>
      <c r="B38" s="412"/>
      <c r="C38" s="943" t="s">
        <v>213</v>
      </c>
      <c r="D38" s="943"/>
      <c r="E38" s="943"/>
      <c r="F38" s="413"/>
    </row>
    <row r="39" spans="1:6" ht="19" customHeight="1" x14ac:dyDescent="0.35">
      <c r="A39" s="411"/>
      <c r="B39" s="414"/>
      <c r="C39" s="944" t="s">
        <v>275</v>
      </c>
      <c r="D39" s="944"/>
      <c r="E39" s="944"/>
      <c r="F39" s="413"/>
    </row>
    <row r="40" spans="1:6" ht="39.75" customHeight="1" x14ac:dyDescent="0.35">
      <c r="A40" s="945" t="s">
        <v>276</v>
      </c>
      <c r="B40" s="945"/>
      <c r="C40" s="945"/>
      <c r="D40" s="945"/>
      <c r="E40" s="945"/>
      <c r="F40" s="413"/>
    </row>
    <row r="41" spans="1:6" x14ac:dyDescent="0.35">
      <c r="A41" s="223"/>
      <c r="B41" s="415"/>
      <c r="C41" s="416"/>
      <c r="D41" s="197"/>
      <c r="E41" s="378"/>
    </row>
    <row r="42" spans="1:6" x14ac:dyDescent="0.35">
      <c r="A42" s="223"/>
      <c r="B42" s="224"/>
      <c r="C42" s="197"/>
      <c r="D42" s="197"/>
      <c r="E42" s="196"/>
    </row>
    <row r="43" spans="1:6" x14ac:dyDescent="0.35">
      <c r="A43" s="223"/>
      <c r="B43" s="224"/>
      <c r="C43" s="197"/>
      <c r="D43" s="197"/>
      <c r="E43" s="222"/>
    </row>
    <row r="44" spans="1:6" x14ac:dyDescent="0.35">
      <c r="A44" s="223"/>
      <c r="B44" s="224"/>
      <c r="C44" s="197"/>
      <c r="D44" s="197"/>
      <c r="E44" s="222"/>
    </row>
    <row r="45" spans="1:6" x14ac:dyDescent="0.35">
      <c r="A45" s="223"/>
      <c r="B45" s="224"/>
      <c r="C45" s="197"/>
      <c r="D45" s="197"/>
      <c r="E45" s="222"/>
    </row>
    <row r="46" spans="1:6" x14ac:dyDescent="0.35">
      <c r="A46" s="223"/>
      <c r="B46" s="224"/>
      <c r="C46" s="197"/>
      <c r="D46" s="197"/>
      <c r="E46" s="222"/>
    </row>
    <row r="47" spans="1:6" x14ac:dyDescent="0.35">
      <c r="A47" s="223"/>
      <c r="B47" s="224"/>
      <c r="C47" s="197"/>
      <c r="D47" s="197"/>
      <c r="E47" s="222"/>
    </row>
    <row r="48" spans="1:6" x14ac:dyDescent="0.35">
      <c r="A48" s="223"/>
      <c r="B48" s="224"/>
      <c r="C48" s="197"/>
      <c r="D48" s="197"/>
      <c r="E48" s="222"/>
    </row>
    <row r="49" spans="1:5" x14ac:dyDescent="0.35">
      <c r="A49" s="223"/>
      <c r="B49" s="224"/>
      <c r="C49" s="197"/>
      <c r="D49" s="197"/>
      <c r="E49" s="222"/>
    </row>
  </sheetData>
  <mergeCells count="4">
    <mergeCell ref="A3:E3"/>
    <mergeCell ref="C38:E38"/>
    <mergeCell ref="C39:E39"/>
    <mergeCell ref="A40:E40"/>
  </mergeCells>
  <pageMargins left="0.7" right="0.33" top="0.75" bottom="0.54" header="0.3" footer="0.3"/>
  <pageSetup paperSize="9" scale="99"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92696-C5A7-4A77-B719-395885738A3D}">
  <dimension ref="A1:J14"/>
  <sheetViews>
    <sheetView workbookViewId="0">
      <selection activeCell="G6" sqref="G6"/>
    </sheetView>
  </sheetViews>
  <sheetFormatPr defaultColWidth="9" defaultRowHeight="12.5" x14ac:dyDescent="0.25"/>
  <cols>
    <col min="1" max="1" width="9" style="758"/>
    <col min="2" max="2" width="29.26953125" style="758" customWidth="1"/>
    <col min="3" max="3" width="16.36328125" style="758" customWidth="1"/>
    <col min="4" max="4" width="11.08984375" style="758" customWidth="1"/>
    <col min="5" max="7" width="9" style="758"/>
    <col min="8" max="8" width="16" style="758" customWidth="1"/>
    <col min="9" max="9" width="14.90625" style="758" customWidth="1"/>
    <col min="10" max="10" width="20" style="758" customWidth="1"/>
    <col min="11" max="16384" width="9" style="758"/>
  </cols>
  <sheetData>
    <row r="1" spans="1:10" ht="15.5" x14ac:dyDescent="0.25">
      <c r="A1" s="755"/>
      <c r="B1" s="755"/>
      <c r="C1" s="756"/>
      <c r="D1" s="755"/>
      <c r="E1" s="757"/>
      <c r="F1" s="755"/>
      <c r="G1" s="755"/>
      <c r="H1" s="755"/>
      <c r="I1" s="755"/>
      <c r="J1" s="755"/>
    </row>
    <row r="2" spans="1:10" ht="15.5" x14ac:dyDescent="0.25">
      <c r="A2" s="947" t="s">
        <v>454</v>
      </c>
      <c r="B2" s="947"/>
      <c r="C2" s="948" t="s">
        <v>812</v>
      </c>
      <c r="D2" s="948"/>
      <c r="E2" s="948"/>
      <c r="F2" s="948"/>
      <c r="G2" s="948"/>
      <c r="H2" s="948"/>
      <c r="I2" s="948"/>
      <c r="J2" s="759" t="s">
        <v>570</v>
      </c>
    </row>
    <row r="3" spans="1:10" ht="18" x14ac:dyDescent="0.25">
      <c r="A3" s="949" t="s">
        <v>813</v>
      </c>
      <c r="B3" s="949"/>
      <c r="C3" s="948"/>
      <c r="D3" s="948"/>
      <c r="E3" s="948"/>
      <c r="F3" s="948"/>
      <c r="G3" s="948"/>
      <c r="H3" s="948"/>
      <c r="I3" s="948"/>
      <c r="J3" s="760"/>
    </row>
    <row r="4" spans="1:10" ht="18.5" thickBot="1" x14ac:dyDescent="0.3">
      <c r="A4" s="760"/>
      <c r="B4" s="760"/>
      <c r="C4" s="760"/>
      <c r="D4" s="760"/>
      <c r="E4" s="760"/>
      <c r="F4" s="760"/>
      <c r="G4" s="760"/>
      <c r="H4" s="760"/>
      <c r="I4" s="760"/>
      <c r="J4" s="760"/>
    </row>
    <row r="5" spans="1:10" ht="45" x14ac:dyDescent="0.25">
      <c r="A5" s="761" t="s">
        <v>281</v>
      </c>
      <c r="B5" s="762" t="s">
        <v>814</v>
      </c>
      <c r="C5" s="762" t="s">
        <v>815</v>
      </c>
      <c r="D5" s="763" t="s">
        <v>816</v>
      </c>
      <c r="E5" s="763" t="s">
        <v>817</v>
      </c>
      <c r="F5" s="763" t="s">
        <v>818</v>
      </c>
      <c r="G5" s="763" t="s">
        <v>885</v>
      </c>
      <c r="H5" s="763" t="s">
        <v>819</v>
      </c>
      <c r="I5" s="763" t="s">
        <v>820</v>
      </c>
      <c r="J5" s="764" t="s">
        <v>821</v>
      </c>
    </row>
    <row r="6" spans="1:10" ht="84" x14ac:dyDescent="0.25">
      <c r="A6" s="796">
        <v>1</v>
      </c>
      <c r="B6" s="797" t="s">
        <v>881</v>
      </c>
      <c r="C6" s="797" t="s">
        <v>881</v>
      </c>
      <c r="D6" s="797" t="s">
        <v>888</v>
      </c>
      <c r="E6" s="807"/>
      <c r="F6" s="808"/>
      <c r="G6" s="799" t="s">
        <v>889</v>
      </c>
      <c r="H6" s="800" t="s">
        <v>887</v>
      </c>
      <c r="I6" s="797" t="s">
        <v>886</v>
      </c>
      <c r="J6" s="765"/>
    </row>
    <row r="7" spans="1:10" ht="15.5" x14ac:dyDescent="0.25">
      <c r="A7" s="796">
        <v>2</v>
      </c>
      <c r="B7" s="797" t="s">
        <v>882</v>
      </c>
      <c r="C7" s="797" t="s">
        <v>882</v>
      </c>
      <c r="D7" s="798" t="s">
        <v>890</v>
      </c>
      <c r="E7" s="807"/>
      <c r="F7" s="809"/>
      <c r="G7" s="801"/>
      <c r="H7" s="810"/>
      <c r="I7" s="799"/>
      <c r="J7" s="765"/>
    </row>
    <row r="8" spans="1:10" ht="28" x14ac:dyDescent="0.25">
      <c r="A8" s="796">
        <v>3</v>
      </c>
      <c r="B8" s="797" t="s">
        <v>883</v>
      </c>
      <c r="C8" s="798"/>
      <c r="D8" s="798"/>
      <c r="E8" s="807"/>
      <c r="F8" s="809"/>
      <c r="G8" s="801"/>
      <c r="H8" s="800" t="s">
        <v>891</v>
      </c>
      <c r="I8" s="799"/>
      <c r="J8" s="766"/>
    </row>
    <row r="9" spans="1:10" ht="28" x14ac:dyDescent="0.25">
      <c r="A9" s="796">
        <v>4</v>
      </c>
      <c r="B9" s="798" t="s">
        <v>884</v>
      </c>
      <c r="C9" s="798" t="s">
        <v>884</v>
      </c>
      <c r="D9" s="797" t="s">
        <v>888</v>
      </c>
      <c r="E9" s="807"/>
      <c r="F9" s="809"/>
      <c r="G9" s="801"/>
      <c r="H9" s="800" t="s">
        <v>891</v>
      </c>
      <c r="I9" s="799"/>
      <c r="J9" s="766"/>
    </row>
    <row r="10" spans="1:10" ht="16" thickBot="1" x14ac:dyDescent="0.3">
      <c r="A10" s="767"/>
      <c r="B10" s="768" t="s">
        <v>686</v>
      </c>
      <c r="C10" s="950" t="s">
        <v>892</v>
      </c>
      <c r="D10" s="951"/>
      <c r="E10" s="951"/>
      <c r="F10" s="951"/>
      <c r="G10" s="951"/>
      <c r="H10" s="951"/>
      <c r="I10" s="951"/>
      <c r="J10" s="952"/>
    </row>
    <row r="11" spans="1:10" ht="18" x14ac:dyDescent="0.35">
      <c r="A11" s="760"/>
      <c r="B11" s="760"/>
      <c r="C11" s="756"/>
      <c r="D11" s="769"/>
      <c r="E11" s="769"/>
      <c r="F11" s="953" t="s">
        <v>822</v>
      </c>
      <c r="G11" s="953"/>
      <c r="H11" s="953"/>
      <c r="I11" s="953"/>
      <c r="J11" s="953"/>
    </row>
    <row r="12" spans="1:10" ht="18" x14ac:dyDescent="0.3">
      <c r="A12" s="760"/>
      <c r="B12" s="760"/>
      <c r="C12" s="756"/>
      <c r="D12" s="770"/>
      <c r="E12" s="770"/>
      <c r="F12" s="954" t="s">
        <v>823</v>
      </c>
      <c r="G12" s="954"/>
      <c r="H12" s="954"/>
      <c r="I12" s="954"/>
      <c r="J12" s="954"/>
    </row>
    <row r="13" spans="1:10" ht="15.5" x14ac:dyDescent="0.25">
      <c r="A13" s="756"/>
      <c r="B13" s="756"/>
      <c r="C13" s="755"/>
      <c r="D13" s="757"/>
      <c r="E13" s="755"/>
      <c r="F13" s="946" t="s">
        <v>824</v>
      </c>
      <c r="G13" s="946"/>
      <c r="H13" s="946"/>
      <c r="I13" s="946"/>
      <c r="J13" s="946"/>
    </row>
    <row r="14" spans="1:10" ht="15.5" x14ac:dyDescent="0.25">
      <c r="A14" s="756"/>
      <c r="B14" s="756"/>
      <c r="C14" s="755"/>
      <c r="D14" s="757"/>
      <c r="E14" s="755"/>
      <c r="F14" s="755"/>
      <c r="G14" s="755"/>
      <c r="H14" s="755"/>
      <c r="I14" s="755"/>
      <c r="J14" s="756"/>
    </row>
  </sheetData>
  <mergeCells count="7">
    <mergeCell ref="F13:J13"/>
    <mergeCell ref="A2:B2"/>
    <mergeCell ref="C2:I3"/>
    <mergeCell ref="A3:B3"/>
    <mergeCell ref="C10:J10"/>
    <mergeCell ref="F11:J11"/>
    <mergeCell ref="F12:J12"/>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CF071-21C7-4BB2-B850-29D6D9E7BFAB}">
  <sheetPr>
    <pageSetUpPr fitToPage="1"/>
  </sheetPr>
  <dimension ref="A1:G32"/>
  <sheetViews>
    <sheetView workbookViewId="0">
      <selection activeCell="J23" sqref="J23"/>
    </sheetView>
  </sheetViews>
  <sheetFormatPr defaultColWidth="9" defaultRowHeight="15.5" x14ac:dyDescent="0.35"/>
  <cols>
    <col min="1" max="1" width="5.08984375" style="235" customWidth="1"/>
    <col min="2" max="2" width="34.36328125" style="235" customWidth="1"/>
    <col min="3" max="3" width="9.36328125" style="235" customWidth="1"/>
    <col min="4" max="5" width="11" style="235" customWidth="1"/>
    <col min="6" max="6" width="11.36328125" style="235" customWidth="1"/>
    <col min="7" max="7" width="14" style="235" customWidth="1"/>
    <col min="8" max="16384" width="9" style="235"/>
  </cols>
  <sheetData>
    <row r="1" spans="1:7" x14ac:dyDescent="0.35">
      <c r="A1" s="956" t="s">
        <v>0</v>
      </c>
      <c r="B1" s="956"/>
      <c r="C1" s="234"/>
      <c r="G1" s="203" t="s">
        <v>277</v>
      </c>
    </row>
    <row r="2" spans="1:7" x14ac:dyDescent="0.35">
      <c r="A2" s="818" t="s">
        <v>278</v>
      </c>
      <c r="B2" s="818"/>
      <c r="C2" s="140"/>
    </row>
    <row r="3" spans="1:7" ht="47.25" customHeight="1" x14ac:dyDescent="0.35">
      <c r="A3" s="957" t="s">
        <v>279</v>
      </c>
      <c r="B3" s="818"/>
      <c r="C3" s="818"/>
      <c r="D3" s="818"/>
      <c r="E3" s="818"/>
      <c r="F3" s="818"/>
      <c r="G3" s="818"/>
    </row>
    <row r="4" spans="1:7" ht="16" thickBot="1" x14ac:dyDescent="0.4">
      <c r="F4" s="958" t="s">
        <v>280</v>
      </c>
      <c r="G4" s="958"/>
    </row>
    <row r="5" spans="1:7" s="140" customFormat="1" ht="76" thickTop="1" thickBot="1" x14ac:dyDescent="0.4">
      <c r="A5" s="236" t="s">
        <v>281</v>
      </c>
      <c r="B5" s="237" t="s">
        <v>282</v>
      </c>
      <c r="C5" s="238" t="s">
        <v>283</v>
      </c>
      <c r="D5" s="238" t="s">
        <v>284</v>
      </c>
      <c r="E5" s="238" t="s">
        <v>285</v>
      </c>
      <c r="F5" s="238" t="s">
        <v>249</v>
      </c>
      <c r="G5" s="239" t="s">
        <v>16</v>
      </c>
    </row>
    <row r="6" spans="1:7" s="244" customFormat="1" ht="38.25" customHeight="1" thickTop="1" x14ac:dyDescent="0.35">
      <c r="A6" s="240" t="s">
        <v>19</v>
      </c>
      <c r="B6" s="650" t="s">
        <v>634</v>
      </c>
      <c r="C6" s="241"/>
      <c r="D6" s="242"/>
      <c r="E6" s="242"/>
      <c r="F6" s="241"/>
      <c r="G6" s="243"/>
    </row>
    <row r="7" spans="1:7" x14ac:dyDescent="0.35">
      <c r="A7" s="245"/>
      <c r="B7" s="246"/>
      <c r="C7" s="246"/>
      <c r="D7" s="247"/>
      <c r="E7" s="247"/>
      <c r="F7" s="248"/>
      <c r="G7" s="249"/>
    </row>
    <row r="8" spans="1:7" x14ac:dyDescent="0.35">
      <c r="A8" s="245"/>
      <c r="B8" s="250"/>
      <c r="C8" s="250"/>
      <c r="D8" s="247"/>
      <c r="E8" s="247"/>
      <c r="F8" s="248"/>
      <c r="G8" s="249"/>
    </row>
    <row r="9" spans="1:7" x14ac:dyDescent="0.35">
      <c r="A9" s="245"/>
      <c r="B9" s="250"/>
      <c r="C9" s="250"/>
      <c r="D9" s="247"/>
      <c r="E9" s="247"/>
      <c r="F9" s="248"/>
      <c r="G9" s="249"/>
    </row>
    <row r="10" spans="1:7" x14ac:dyDescent="0.35">
      <c r="A10" s="240" t="s">
        <v>41</v>
      </c>
      <c r="B10" s="251" t="s">
        <v>635</v>
      </c>
      <c r="C10" s="251"/>
      <c r="D10" s="247"/>
      <c r="E10" s="247"/>
      <c r="F10" s="248"/>
      <c r="G10" s="249"/>
    </row>
    <row r="11" spans="1:7" x14ac:dyDescent="0.35">
      <c r="A11" s="245"/>
      <c r="B11" s="250"/>
      <c r="C11" s="250"/>
      <c r="D11" s="247"/>
      <c r="E11" s="247"/>
      <c r="F11" s="248"/>
      <c r="G11" s="249"/>
    </row>
    <row r="12" spans="1:7" x14ac:dyDescent="0.35">
      <c r="A12" s="245"/>
      <c r="B12" s="250"/>
      <c r="C12" s="250"/>
      <c r="D12" s="247"/>
      <c r="E12" s="247"/>
      <c r="F12" s="248"/>
      <c r="G12" s="249"/>
    </row>
    <row r="13" spans="1:7" x14ac:dyDescent="0.35">
      <c r="A13" s="245"/>
      <c r="B13" s="250"/>
      <c r="C13" s="250"/>
      <c r="D13" s="242"/>
      <c r="E13" s="242"/>
      <c r="F13" s="248"/>
      <c r="G13" s="249"/>
    </row>
    <row r="14" spans="1:7" x14ac:dyDescent="0.35">
      <c r="A14" s="240" t="s">
        <v>70</v>
      </c>
      <c r="B14" s="241" t="s">
        <v>633</v>
      </c>
      <c r="C14" s="244"/>
      <c r="F14" s="248"/>
      <c r="G14" s="249"/>
    </row>
    <row r="15" spans="1:7" x14ac:dyDescent="0.35">
      <c r="A15" s="245"/>
      <c r="B15" s="248"/>
      <c r="C15" s="248"/>
      <c r="D15" s="242"/>
      <c r="E15" s="242"/>
      <c r="F15" s="248"/>
      <c r="G15" s="249"/>
    </row>
    <row r="16" spans="1:7" x14ac:dyDescent="0.35">
      <c r="A16" s="245"/>
      <c r="B16" s="248"/>
      <c r="C16" s="248"/>
      <c r="D16" s="242"/>
      <c r="E16" s="242"/>
      <c r="F16" s="248"/>
      <c r="G16" s="249"/>
    </row>
    <row r="17" spans="1:7" x14ac:dyDescent="0.35">
      <c r="A17" s="240" t="s">
        <v>272</v>
      </c>
      <c r="B17" s="241" t="s">
        <v>630</v>
      </c>
      <c r="C17" s="248"/>
      <c r="D17" s="242"/>
      <c r="E17" s="242"/>
      <c r="F17" s="248"/>
      <c r="G17" s="249"/>
    </row>
    <row r="18" spans="1:7" x14ac:dyDescent="0.35">
      <c r="A18" s="240"/>
      <c r="B18" s="241"/>
      <c r="C18" s="248"/>
      <c r="D18" s="242"/>
      <c r="E18" s="242"/>
      <c r="F18" s="248"/>
      <c r="G18" s="249"/>
    </row>
    <row r="19" spans="1:7" x14ac:dyDescent="0.35">
      <c r="A19" s="240"/>
      <c r="B19" s="241"/>
      <c r="C19" s="248"/>
      <c r="D19" s="242"/>
      <c r="E19" s="242"/>
      <c r="F19" s="248"/>
      <c r="G19" s="249"/>
    </row>
    <row r="20" spans="1:7" x14ac:dyDescent="0.35">
      <c r="A20" s="240" t="s">
        <v>273</v>
      </c>
      <c r="B20" s="241" t="s">
        <v>631</v>
      </c>
      <c r="C20" s="248"/>
      <c r="D20" s="242"/>
      <c r="E20" s="242"/>
      <c r="F20" s="248"/>
      <c r="G20" s="249"/>
    </row>
    <row r="21" spans="1:7" x14ac:dyDescent="0.35">
      <c r="A21" s="245"/>
      <c r="B21" s="241"/>
      <c r="C21" s="248"/>
      <c r="D21" s="242"/>
      <c r="E21" s="242"/>
      <c r="F21" s="248"/>
      <c r="G21" s="249"/>
    </row>
    <row r="22" spans="1:7" x14ac:dyDescent="0.35">
      <c r="A22" s="245"/>
      <c r="B22" s="241"/>
      <c r="C22" s="248"/>
      <c r="D22" s="242"/>
      <c r="E22" s="242"/>
      <c r="F22" s="248"/>
      <c r="G22" s="249"/>
    </row>
    <row r="23" spans="1:7" x14ac:dyDescent="0.35">
      <c r="A23" s="240" t="s">
        <v>274</v>
      </c>
      <c r="B23" s="241" t="s">
        <v>632</v>
      </c>
      <c r="C23" s="248"/>
      <c r="D23" s="242"/>
      <c r="E23" s="242"/>
      <c r="F23" s="248"/>
      <c r="G23" s="249"/>
    </row>
    <row r="24" spans="1:7" x14ac:dyDescent="0.35">
      <c r="A24" s="245"/>
      <c r="B24" s="248"/>
      <c r="C24" s="248"/>
      <c r="D24" s="242"/>
      <c r="E24" s="242"/>
      <c r="F24" s="248"/>
      <c r="G24" s="249"/>
    </row>
    <row r="25" spans="1:7" s="244" customFormat="1" x14ac:dyDescent="0.35">
      <c r="A25" s="245"/>
      <c r="B25" s="248"/>
      <c r="C25" s="248"/>
      <c r="D25" s="252"/>
      <c r="E25" s="252"/>
      <c r="F25" s="248"/>
      <c r="G25" s="243"/>
    </row>
    <row r="26" spans="1:7" x14ac:dyDescent="0.35">
      <c r="A26" s="253"/>
      <c r="B26" s="250"/>
      <c r="C26" s="250"/>
      <c r="D26" s="242"/>
      <c r="E26" s="242"/>
      <c r="F26" s="248"/>
      <c r="G26" s="249"/>
    </row>
    <row r="27" spans="1:7" ht="16" thickBot="1" x14ac:dyDescent="0.4">
      <c r="A27" s="254"/>
      <c r="B27" s="255" t="s">
        <v>287</v>
      </c>
      <c r="C27" s="256"/>
      <c r="D27" s="257"/>
      <c r="E27" s="257"/>
      <c r="F27" s="256">
        <f>SUM(F6:F26)</f>
        <v>0</v>
      </c>
      <c r="G27" s="258"/>
    </row>
    <row r="28" spans="1:7" s="259" customFormat="1" ht="16" thickTop="1" x14ac:dyDescent="0.35">
      <c r="D28" s="959" t="s">
        <v>288</v>
      </c>
      <c r="E28" s="959"/>
      <c r="F28" s="959"/>
      <c r="G28" s="959"/>
    </row>
    <row r="29" spans="1:7" x14ac:dyDescent="0.35">
      <c r="B29" s="955"/>
      <c r="C29" s="955"/>
      <c r="D29" s="955"/>
      <c r="E29" s="957" t="s">
        <v>43</v>
      </c>
      <c r="F29" s="957"/>
      <c r="G29" s="957"/>
    </row>
    <row r="30" spans="1:7" x14ac:dyDescent="0.35">
      <c r="A30" s="244" t="s">
        <v>180</v>
      </c>
    </row>
    <row r="31" spans="1:7" ht="31.5" customHeight="1" x14ac:dyDescent="0.35">
      <c r="A31" s="235" t="s">
        <v>289</v>
      </c>
    </row>
    <row r="32" spans="1:7" ht="45.75" customHeight="1" x14ac:dyDescent="0.35">
      <c r="A32" s="235" t="s">
        <v>290</v>
      </c>
    </row>
  </sheetData>
  <mergeCells count="7">
    <mergeCell ref="B29:D29"/>
    <mergeCell ref="A1:B1"/>
    <mergeCell ref="A2:B2"/>
    <mergeCell ref="A3:G3"/>
    <mergeCell ref="F4:G4"/>
    <mergeCell ref="D28:G28"/>
    <mergeCell ref="E29:G29"/>
  </mergeCells>
  <pageMargins left="0.7" right="0.19" top="0.75" bottom="0.75" header="0.3" footer="0.3"/>
  <pageSetup paperSize="9" scale="97"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90056-DCF3-4D03-96B6-14362747AE16}">
  <sheetPr>
    <tabColor rgb="FF00B050"/>
    <pageSetUpPr fitToPage="1"/>
  </sheetPr>
  <dimension ref="A1:G118"/>
  <sheetViews>
    <sheetView topLeftCell="A4" zoomScale="74" zoomScaleNormal="74" workbookViewId="0">
      <pane xSplit="2" ySplit="3" topLeftCell="C7" activePane="bottomRight" state="frozen"/>
      <selection activeCell="A4" sqref="A4"/>
      <selection pane="topRight" activeCell="C4" sqref="C4"/>
      <selection pane="bottomLeft" activeCell="A7" sqref="A7"/>
      <selection pane="bottomRight" activeCell="C92" sqref="C92"/>
    </sheetView>
  </sheetViews>
  <sheetFormatPr defaultColWidth="9" defaultRowHeight="15.5" x14ac:dyDescent="0.35"/>
  <cols>
    <col min="1" max="1" width="5.08984375" style="235" customWidth="1"/>
    <col min="2" max="2" width="52.36328125" style="235" customWidth="1"/>
    <col min="3" max="3" width="22.6328125" style="235" customWidth="1"/>
    <col min="4" max="5" width="11" style="235" customWidth="1"/>
    <col min="6" max="6" width="11.36328125" style="235" customWidth="1"/>
    <col min="7" max="7" width="48" style="382" customWidth="1"/>
    <col min="8" max="16384" width="9" style="235"/>
  </cols>
  <sheetData>
    <row r="1" spans="1:7" x14ac:dyDescent="0.35">
      <c r="A1" s="956" t="s">
        <v>0</v>
      </c>
      <c r="B1" s="956"/>
      <c r="C1" s="140"/>
      <c r="F1" s="203" t="s">
        <v>614</v>
      </c>
    </row>
    <row r="2" spans="1:7" x14ac:dyDescent="0.35">
      <c r="A2" s="818" t="s">
        <v>278</v>
      </c>
      <c r="B2" s="818"/>
      <c r="C2" s="140"/>
      <c r="D2" s="260"/>
    </row>
    <row r="3" spans="1:7" ht="35.25" customHeight="1" x14ac:dyDescent="0.35">
      <c r="A3" s="851" t="s">
        <v>609</v>
      </c>
      <c r="B3" s="851"/>
      <c r="C3" s="851"/>
      <c r="D3" s="851"/>
      <c r="E3" s="851"/>
      <c r="F3" s="851"/>
    </row>
    <row r="4" spans="1:7" ht="16" thickBot="1" x14ac:dyDescent="0.4">
      <c r="E4" s="958" t="s">
        <v>280</v>
      </c>
      <c r="F4" s="958"/>
    </row>
    <row r="5" spans="1:7" s="140" customFormat="1" ht="138" customHeight="1" thickTop="1" x14ac:dyDescent="0.35">
      <c r="A5" s="236" t="s">
        <v>281</v>
      </c>
      <c r="B5" s="237" t="s">
        <v>6</v>
      </c>
      <c r="C5" s="238" t="s">
        <v>508</v>
      </c>
      <c r="D5" s="238" t="s">
        <v>292</v>
      </c>
      <c r="E5" s="238" t="s">
        <v>249</v>
      </c>
      <c r="F5" s="239" t="s">
        <v>16</v>
      </c>
      <c r="G5" s="426"/>
    </row>
    <row r="6" spans="1:7" s="140" customFormat="1" ht="15" x14ac:dyDescent="0.35">
      <c r="A6" s="261" t="s">
        <v>88</v>
      </c>
      <c r="B6" s="262" t="s">
        <v>89</v>
      </c>
      <c r="C6" s="263" t="s">
        <v>90</v>
      </c>
      <c r="D6" s="263" t="s">
        <v>91</v>
      </c>
      <c r="E6" s="263" t="s">
        <v>92</v>
      </c>
      <c r="F6" s="264" t="s">
        <v>152</v>
      </c>
      <c r="G6" s="426"/>
    </row>
    <row r="7" spans="1:7" s="244" customFormat="1" x14ac:dyDescent="0.35">
      <c r="A7" s="265"/>
      <c r="B7" s="266" t="s">
        <v>293</v>
      </c>
      <c r="C7" s="266"/>
      <c r="D7" s="267"/>
      <c r="E7" s="266">
        <f>SUM(E9+E104)</f>
        <v>0</v>
      </c>
      <c r="F7" s="268"/>
      <c r="G7" s="226"/>
    </row>
    <row r="8" spans="1:7" s="244" customFormat="1" x14ac:dyDescent="0.35">
      <c r="A8" s="422" t="s">
        <v>17</v>
      </c>
      <c r="B8" s="423" t="s">
        <v>482</v>
      </c>
      <c r="C8" s="423"/>
      <c r="D8" s="424"/>
      <c r="E8" s="423"/>
      <c r="F8" s="425"/>
      <c r="G8" s="226"/>
    </row>
    <row r="9" spans="1:7" s="244" customFormat="1" ht="23.25" customHeight="1" x14ac:dyDescent="0.35">
      <c r="A9" s="240" t="s">
        <v>19</v>
      </c>
      <c r="B9" s="241" t="s">
        <v>294</v>
      </c>
      <c r="C9" s="241"/>
      <c r="D9" s="242"/>
      <c r="E9" s="241"/>
      <c r="F9" s="249"/>
      <c r="G9" s="226"/>
    </row>
    <row r="10" spans="1:7" s="244" customFormat="1" ht="25.5" customHeight="1" x14ac:dyDescent="0.35">
      <c r="A10" s="417"/>
      <c r="B10" s="418" t="s">
        <v>295</v>
      </c>
      <c r="C10" s="419"/>
      <c r="D10" s="420"/>
      <c r="E10" s="419"/>
      <c r="F10" s="421"/>
      <c r="G10" s="226"/>
    </row>
    <row r="11" spans="1:7" ht="24" customHeight="1" x14ac:dyDescent="0.35">
      <c r="A11" s="240">
        <v>1</v>
      </c>
      <c r="B11" s="251" t="s">
        <v>296</v>
      </c>
      <c r="C11" s="248"/>
      <c r="D11" s="247"/>
      <c r="E11" s="248"/>
      <c r="F11" s="249"/>
      <c r="G11" s="382" t="s">
        <v>516</v>
      </c>
    </row>
    <row r="12" spans="1:7" ht="87.75" customHeight="1" x14ac:dyDescent="0.35">
      <c r="A12" s="245"/>
      <c r="B12" s="250" t="s">
        <v>507</v>
      </c>
      <c r="C12" s="248"/>
      <c r="D12" s="247">
        <v>310</v>
      </c>
      <c r="E12" s="248">
        <f t="shared" ref="E12:E17" si="0">C12*D12</f>
        <v>0</v>
      </c>
      <c r="F12" s="269" t="s">
        <v>193</v>
      </c>
      <c r="G12" s="382" t="s">
        <v>517</v>
      </c>
    </row>
    <row r="13" spans="1:7" ht="87.75" customHeight="1" x14ac:dyDescent="0.35">
      <c r="A13" s="245"/>
      <c r="B13" s="250" t="s">
        <v>514</v>
      </c>
      <c r="C13" s="248"/>
      <c r="D13" s="247">
        <v>310</v>
      </c>
      <c r="E13" s="248">
        <f t="shared" si="0"/>
        <v>0</v>
      </c>
      <c r="F13" s="427" t="s">
        <v>193</v>
      </c>
      <c r="G13" s="382" t="s">
        <v>517</v>
      </c>
    </row>
    <row r="14" spans="1:7" ht="87.75" customHeight="1" x14ac:dyDescent="0.35">
      <c r="A14" s="245"/>
      <c r="B14" s="250" t="s">
        <v>515</v>
      </c>
      <c r="C14" s="248"/>
      <c r="D14" s="247">
        <v>380</v>
      </c>
      <c r="E14" s="248">
        <f t="shared" si="0"/>
        <v>0</v>
      </c>
      <c r="F14" s="427" t="s">
        <v>193</v>
      </c>
      <c r="G14" s="382" t="s">
        <v>517</v>
      </c>
    </row>
    <row r="15" spans="1:7" ht="79.5" customHeight="1" x14ac:dyDescent="0.35">
      <c r="A15" s="245"/>
      <c r="B15" s="250" t="s">
        <v>519</v>
      </c>
      <c r="C15" s="248"/>
      <c r="D15" s="247">
        <v>380</v>
      </c>
      <c r="E15" s="248">
        <f t="shared" si="0"/>
        <v>0</v>
      </c>
      <c r="F15" s="269" t="s">
        <v>193</v>
      </c>
      <c r="G15" s="382" t="s">
        <v>517</v>
      </c>
    </row>
    <row r="16" spans="1:7" ht="79.5" customHeight="1" x14ac:dyDescent="0.35">
      <c r="A16" s="245"/>
      <c r="B16" s="250" t="s">
        <v>520</v>
      </c>
      <c r="C16" s="248"/>
      <c r="D16" s="247">
        <v>380</v>
      </c>
      <c r="E16" s="248">
        <f t="shared" si="0"/>
        <v>0</v>
      </c>
      <c r="F16" s="427" t="s">
        <v>193</v>
      </c>
      <c r="G16" s="382" t="s">
        <v>517</v>
      </c>
    </row>
    <row r="17" spans="1:7" ht="87.75" customHeight="1" x14ac:dyDescent="0.35">
      <c r="A17" s="245"/>
      <c r="B17" s="250" t="s">
        <v>513</v>
      </c>
      <c r="C17" s="248"/>
      <c r="D17" s="247">
        <v>310</v>
      </c>
      <c r="E17" s="248">
        <f t="shared" si="0"/>
        <v>0</v>
      </c>
      <c r="F17" s="427" t="s">
        <v>193</v>
      </c>
      <c r="G17" s="382" t="s">
        <v>517</v>
      </c>
    </row>
    <row r="18" spans="1:7" x14ac:dyDescent="0.35">
      <c r="A18" s="240">
        <v>2</v>
      </c>
      <c r="B18" s="251" t="s">
        <v>297</v>
      </c>
      <c r="C18" s="248"/>
      <c r="D18" s="247"/>
      <c r="E18" s="248"/>
      <c r="F18" s="249"/>
    </row>
    <row r="19" spans="1:7" ht="87.75" customHeight="1" x14ac:dyDescent="0.35">
      <c r="A19" s="245"/>
      <c r="B19" s="250" t="s">
        <v>507</v>
      </c>
      <c r="C19" s="248"/>
      <c r="D19" s="247">
        <f>310*1.5</f>
        <v>465</v>
      </c>
      <c r="E19" s="248">
        <f t="shared" ref="E19:E24" si="1">C19*D19</f>
        <v>0</v>
      </c>
      <c r="F19" s="444" t="s">
        <v>193</v>
      </c>
      <c r="G19" s="382" t="s">
        <v>517</v>
      </c>
    </row>
    <row r="20" spans="1:7" ht="87.75" customHeight="1" x14ac:dyDescent="0.35">
      <c r="A20" s="245"/>
      <c r="B20" s="250" t="s">
        <v>514</v>
      </c>
      <c r="C20" s="248"/>
      <c r="D20" s="247">
        <f>310*1.5</f>
        <v>465</v>
      </c>
      <c r="E20" s="248">
        <f t="shared" si="1"/>
        <v>0</v>
      </c>
      <c r="F20" s="444" t="s">
        <v>193</v>
      </c>
      <c r="G20" s="382" t="s">
        <v>517</v>
      </c>
    </row>
    <row r="21" spans="1:7" ht="87.75" customHeight="1" x14ac:dyDescent="0.35">
      <c r="A21" s="245"/>
      <c r="B21" s="250" t="s">
        <v>515</v>
      </c>
      <c r="C21" s="248"/>
      <c r="D21" s="247">
        <f>380*1.5</f>
        <v>570</v>
      </c>
      <c r="E21" s="248">
        <f t="shared" si="1"/>
        <v>0</v>
      </c>
      <c r="F21" s="444" t="s">
        <v>193</v>
      </c>
      <c r="G21" s="382" t="s">
        <v>517</v>
      </c>
    </row>
    <row r="22" spans="1:7" ht="79.5" customHeight="1" x14ac:dyDescent="0.35">
      <c r="A22" s="245"/>
      <c r="B22" s="250" t="s">
        <v>519</v>
      </c>
      <c r="C22" s="248"/>
      <c r="D22" s="247">
        <f>380*1.5</f>
        <v>570</v>
      </c>
      <c r="E22" s="248">
        <f t="shared" si="1"/>
        <v>0</v>
      </c>
      <c r="F22" s="444" t="s">
        <v>193</v>
      </c>
      <c r="G22" s="382" t="s">
        <v>517</v>
      </c>
    </row>
    <row r="23" spans="1:7" ht="79.5" customHeight="1" x14ac:dyDescent="0.35">
      <c r="A23" s="245"/>
      <c r="B23" s="250" t="s">
        <v>520</v>
      </c>
      <c r="C23" s="248"/>
      <c r="D23" s="247">
        <f>380*1.5</f>
        <v>570</v>
      </c>
      <c r="E23" s="248">
        <f t="shared" si="1"/>
        <v>0</v>
      </c>
      <c r="F23" s="444" t="s">
        <v>193</v>
      </c>
      <c r="G23" s="382" t="s">
        <v>517</v>
      </c>
    </row>
    <row r="24" spans="1:7" ht="87.75" customHeight="1" x14ac:dyDescent="0.35">
      <c r="A24" s="245"/>
      <c r="B24" s="250" t="s">
        <v>513</v>
      </c>
      <c r="C24" s="248"/>
      <c r="D24" s="247">
        <f>310*1.5</f>
        <v>465</v>
      </c>
      <c r="E24" s="248">
        <f t="shared" si="1"/>
        <v>0</v>
      </c>
      <c r="F24" s="444" t="s">
        <v>193</v>
      </c>
      <c r="G24" s="382" t="s">
        <v>517</v>
      </c>
    </row>
    <row r="25" spans="1:7" x14ac:dyDescent="0.35">
      <c r="A25" s="240">
        <v>3</v>
      </c>
      <c r="B25" s="251" t="s">
        <v>298</v>
      </c>
      <c r="C25" s="270"/>
      <c r="D25" s="247"/>
      <c r="E25" s="248"/>
      <c r="F25" s="249"/>
    </row>
    <row r="26" spans="1:7" ht="87.75" customHeight="1" x14ac:dyDescent="0.35">
      <c r="A26" s="245"/>
      <c r="B26" s="250" t="s">
        <v>507</v>
      </c>
      <c r="C26" s="248"/>
      <c r="D26" s="247">
        <f>310*1.5</f>
        <v>465</v>
      </c>
      <c r="E26" s="248">
        <f t="shared" ref="E26:E31" si="2">C26*D26</f>
        <v>0</v>
      </c>
      <c r="F26" s="444" t="s">
        <v>193</v>
      </c>
      <c r="G26" s="382" t="s">
        <v>517</v>
      </c>
    </row>
    <row r="27" spans="1:7" ht="87.75" customHeight="1" x14ac:dyDescent="0.35">
      <c r="A27" s="245"/>
      <c r="B27" s="250" t="s">
        <v>514</v>
      </c>
      <c r="C27" s="248"/>
      <c r="D27" s="247">
        <f>310*1.5</f>
        <v>465</v>
      </c>
      <c r="E27" s="248">
        <f t="shared" si="2"/>
        <v>0</v>
      </c>
      <c r="F27" s="444" t="s">
        <v>193</v>
      </c>
      <c r="G27" s="382" t="s">
        <v>517</v>
      </c>
    </row>
    <row r="28" spans="1:7" ht="87.75" customHeight="1" x14ac:dyDescent="0.35">
      <c r="A28" s="245"/>
      <c r="B28" s="250" t="s">
        <v>515</v>
      </c>
      <c r="C28" s="248"/>
      <c r="D28" s="247">
        <f>380*1.5</f>
        <v>570</v>
      </c>
      <c r="E28" s="248">
        <f t="shared" si="2"/>
        <v>0</v>
      </c>
      <c r="F28" s="444" t="s">
        <v>193</v>
      </c>
      <c r="G28" s="382" t="s">
        <v>517</v>
      </c>
    </row>
    <row r="29" spans="1:7" ht="79.5" customHeight="1" x14ac:dyDescent="0.35">
      <c r="A29" s="245"/>
      <c r="B29" s="250" t="s">
        <v>519</v>
      </c>
      <c r="C29" s="248"/>
      <c r="D29" s="247">
        <f>380*1.5</f>
        <v>570</v>
      </c>
      <c r="E29" s="248">
        <f t="shared" si="2"/>
        <v>0</v>
      </c>
      <c r="F29" s="444" t="s">
        <v>193</v>
      </c>
      <c r="G29" s="382" t="s">
        <v>517</v>
      </c>
    </row>
    <row r="30" spans="1:7" ht="79.5" customHeight="1" x14ac:dyDescent="0.35">
      <c r="A30" s="245"/>
      <c r="B30" s="250" t="s">
        <v>520</v>
      </c>
      <c r="C30" s="248"/>
      <c r="D30" s="247">
        <f>380*1.5</f>
        <v>570</v>
      </c>
      <c r="E30" s="248">
        <f t="shared" si="2"/>
        <v>0</v>
      </c>
      <c r="F30" s="444" t="s">
        <v>193</v>
      </c>
      <c r="G30" s="382" t="s">
        <v>517</v>
      </c>
    </row>
    <row r="31" spans="1:7" ht="87.75" customHeight="1" x14ac:dyDescent="0.35">
      <c r="A31" s="245"/>
      <c r="B31" s="250" t="s">
        <v>513</v>
      </c>
      <c r="C31" s="248"/>
      <c r="D31" s="247">
        <f>310*1.5</f>
        <v>465</v>
      </c>
      <c r="E31" s="248">
        <f t="shared" si="2"/>
        <v>0</v>
      </c>
      <c r="F31" s="444" t="s">
        <v>193</v>
      </c>
      <c r="G31" s="382" t="s">
        <v>517</v>
      </c>
    </row>
    <row r="32" spans="1:7" x14ac:dyDescent="0.35">
      <c r="A32" s="240">
        <v>4</v>
      </c>
      <c r="B32" s="251" t="s">
        <v>299</v>
      </c>
      <c r="C32" s="270"/>
      <c r="D32" s="247"/>
      <c r="E32" s="248"/>
      <c r="F32" s="249"/>
    </row>
    <row r="33" spans="1:7" ht="87.75" customHeight="1" x14ac:dyDescent="0.35">
      <c r="A33" s="245"/>
      <c r="B33" s="250" t="s">
        <v>507</v>
      </c>
      <c r="C33" s="248"/>
      <c r="D33" s="247">
        <f>980*10*1.5</f>
        <v>14700</v>
      </c>
      <c r="E33" s="248">
        <f t="shared" ref="E33:E38" si="3">C33*D33</f>
        <v>0</v>
      </c>
      <c r="F33" s="444" t="s">
        <v>193</v>
      </c>
      <c r="G33" s="382" t="s">
        <v>572</v>
      </c>
    </row>
    <row r="34" spans="1:7" ht="87.75" customHeight="1" x14ac:dyDescent="0.35">
      <c r="A34" s="245"/>
      <c r="B34" s="250" t="s">
        <v>514</v>
      </c>
      <c r="C34" s="248"/>
      <c r="D34" s="247">
        <f>980*10*1.5</f>
        <v>14700</v>
      </c>
      <c r="E34" s="248">
        <f t="shared" si="3"/>
        <v>0</v>
      </c>
      <c r="F34" s="444" t="s">
        <v>193</v>
      </c>
      <c r="G34" s="382" t="s">
        <v>572</v>
      </c>
    </row>
    <row r="35" spans="1:7" ht="87.75" customHeight="1" x14ac:dyDescent="0.35">
      <c r="A35" s="245"/>
      <c r="B35" s="250" t="s">
        <v>515</v>
      </c>
      <c r="C35" s="248"/>
      <c r="D35" s="247">
        <f>1170*10*1.5</f>
        <v>17550</v>
      </c>
      <c r="E35" s="248">
        <f t="shared" si="3"/>
        <v>0</v>
      </c>
      <c r="F35" s="444" t="s">
        <v>193</v>
      </c>
      <c r="G35" s="382" t="s">
        <v>572</v>
      </c>
    </row>
    <row r="36" spans="1:7" ht="79.5" customHeight="1" x14ac:dyDescent="0.35">
      <c r="A36" s="245"/>
      <c r="B36" s="250" t="s">
        <v>519</v>
      </c>
      <c r="C36" s="248"/>
      <c r="D36" s="247">
        <f>1170*10*1.5</f>
        <v>17550</v>
      </c>
      <c r="E36" s="248">
        <f t="shared" si="3"/>
        <v>0</v>
      </c>
      <c r="F36" s="444" t="s">
        <v>193</v>
      </c>
      <c r="G36" s="382" t="s">
        <v>572</v>
      </c>
    </row>
    <row r="37" spans="1:7" ht="79.5" customHeight="1" x14ac:dyDescent="0.35">
      <c r="A37" s="245"/>
      <c r="B37" s="250" t="s">
        <v>520</v>
      </c>
      <c r="C37" s="248"/>
      <c r="D37" s="247">
        <f>1170*10*1.5</f>
        <v>17550</v>
      </c>
      <c r="E37" s="248">
        <f t="shared" si="3"/>
        <v>0</v>
      </c>
      <c r="F37" s="444" t="s">
        <v>193</v>
      </c>
      <c r="G37" s="382" t="s">
        <v>572</v>
      </c>
    </row>
    <row r="38" spans="1:7" ht="87.75" customHeight="1" x14ac:dyDescent="0.35">
      <c r="A38" s="245"/>
      <c r="B38" s="250" t="s">
        <v>513</v>
      </c>
      <c r="C38" s="248"/>
      <c r="D38" s="247">
        <f>980*10*1.5</f>
        <v>14700</v>
      </c>
      <c r="E38" s="248">
        <f t="shared" si="3"/>
        <v>0</v>
      </c>
      <c r="F38" s="444" t="s">
        <v>193</v>
      </c>
      <c r="G38" s="382" t="s">
        <v>572</v>
      </c>
    </row>
    <row r="39" spans="1:7" ht="21.75" customHeight="1" x14ac:dyDescent="0.35">
      <c r="A39" s="240">
        <v>5</v>
      </c>
      <c r="B39" s="251" t="s">
        <v>300</v>
      </c>
      <c r="C39" s="248"/>
      <c r="D39" s="247"/>
      <c r="E39" s="248"/>
      <c r="F39" s="249"/>
    </row>
    <row r="40" spans="1:7" ht="87.75" customHeight="1" x14ac:dyDescent="0.35">
      <c r="A40" s="245"/>
      <c r="B40" s="250" t="s">
        <v>507</v>
      </c>
      <c r="C40" s="248"/>
      <c r="D40" s="247">
        <f>980*10*2.5</f>
        <v>24500</v>
      </c>
      <c r="E40" s="248">
        <f t="shared" ref="E40:E45" si="4">C40*D40</f>
        <v>0</v>
      </c>
      <c r="F40" s="444" t="s">
        <v>193</v>
      </c>
      <c r="G40" s="382" t="s">
        <v>572</v>
      </c>
    </row>
    <row r="41" spans="1:7" ht="87.75" customHeight="1" x14ac:dyDescent="0.35">
      <c r="A41" s="245"/>
      <c r="B41" s="250" t="s">
        <v>514</v>
      </c>
      <c r="C41" s="248"/>
      <c r="D41" s="247">
        <f>980*10*2.5</f>
        <v>24500</v>
      </c>
      <c r="E41" s="248">
        <f t="shared" si="4"/>
        <v>0</v>
      </c>
      <c r="F41" s="444" t="s">
        <v>193</v>
      </c>
      <c r="G41" s="382" t="s">
        <v>572</v>
      </c>
    </row>
    <row r="42" spans="1:7" ht="87.75" customHeight="1" x14ac:dyDescent="0.35">
      <c r="A42" s="245"/>
      <c r="B42" s="250" t="s">
        <v>515</v>
      </c>
      <c r="C42" s="248"/>
      <c r="D42" s="247">
        <f>1170*10*2.5</f>
        <v>29250</v>
      </c>
      <c r="E42" s="248">
        <f t="shared" si="4"/>
        <v>0</v>
      </c>
      <c r="F42" s="444" t="s">
        <v>193</v>
      </c>
      <c r="G42" s="382" t="s">
        <v>572</v>
      </c>
    </row>
    <row r="43" spans="1:7" ht="79.5" customHeight="1" x14ac:dyDescent="0.35">
      <c r="A43" s="245"/>
      <c r="B43" s="250" t="s">
        <v>519</v>
      </c>
      <c r="C43" s="248"/>
      <c r="D43" s="247">
        <f>1170*10*2.5</f>
        <v>29250</v>
      </c>
      <c r="E43" s="248">
        <f t="shared" si="4"/>
        <v>0</v>
      </c>
      <c r="F43" s="444" t="s">
        <v>193</v>
      </c>
      <c r="G43" s="382" t="s">
        <v>572</v>
      </c>
    </row>
    <row r="44" spans="1:7" ht="79.5" customHeight="1" x14ac:dyDescent="0.35">
      <c r="A44" s="245"/>
      <c r="B44" s="250" t="s">
        <v>520</v>
      </c>
      <c r="C44" s="248"/>
      <c r="D44" s="247">
        <f>1170*10*2.5</f>
        <v>29250</v>
      </c>
      <c r="E44" s="248">
        <f t="shared" si="4"/>
        <v>0</v>
      </c>
      <c r="F44" s="444" t="s">
        <v>193</v>
      </c>
      <c r="G44" s="382" t="s">
        <v>572</v>
      </c>
    </row>
    <row r="45" spans="1:7" ht="87.75" customHeight="1" x14ac:dyDescent="0.35">
      <c r="A45" s="245"/>
      <c r="B45" s="250" t="s">
        <v>513</v>
      </c>
      <c r="C45" s="248"/>
      <c r="D45" s="247">
        <f>980*10*2.5</f>
        <v>24500</v>
      </c>
      <c r="E45" s="248">
        <f t="shared" si="4"/>
        <v>0</v>
      </c>
      <c r="F45" s="444" t="s">
        <v>193</v>
      </c>
      <c r="G45" s="382" t="s">
        <v>572</v>
      </c>
    </row>
    <row r="46" spans="1:7" ht="21.75" customHeight="1" x14ac:dyDescent="0.35">
      <c r="A46" s="240">
        <v>6</v>
      </c>
      <c r="B46" s="251" t="s">
        <v>573</v>
      </c>
      <c r="C46" s="248"/>
      <c r="D46" s="247"/>
      <c r="E46" s="248"/>
      <c r="F46" s="249"/>
    </row>
    <row r="47" spans="1:7" ht="21.75" customHeight="1" x14ac:dyDescent="0.35">
      <c r="A47" s="245" t="s">
        <v>574</v>
      </c>
      <c r="B47" s="250" t="s">
        <v>601</v>
      </c>
      <c r="C47" s="248"/>
      <c r="D47" s="242">
        <f>50*5*23</f>
        <v>5750</v>
      </c>
      <c r="E47" s="248">
        <f>C47*D47</f>
        <v>0</v>
      </c>
      <c r="F47" s="445"/>
      <c r="G47" s="495" t="s">
        <v>600</v>
      </c>
    </row>
    <row r="48" spans="1:7" ht="21.75" customHeight="1" x14ac:dyDescent="0.35">
      <c r="A48" s="245" t="s">
        <v>575</v>
      </c>
      <c r="B48" s="250" t="s">
        <v>577</v>
      </c>
      <c r="C48" s="248"/>
      <c r="D48" s="242">
        <f>80*5*23</f>
        <v>9200</v>
      </c>
      <c r="E48" s="248">
        <f>C48*D48</f>
        <v>0</v>
      </c>
      <c r="F48" s="445"/>
      <c r="G48" s="495" t="s">
        <v>600</v>
      </c>
    </row>
    <row r="49" spans="1:7" ht="21.75" customHeight="1" x14ac:dyDescent="0.35">
      <c r="A49" s="245" t="s">
        <v>575</v>
      </c>
      <c r="B49" s="250" t="s">
        <v>576</v>
      </c>
      <c r="C49" s="248"/>
      <c r="D49" s="242">
        <f>100*5*23</f>
        <v>11500</v>
      </c>
      <c r="E49" s="248">
        <f>C49*D49</f>
        <v>0</v>
      </c>
      <c r="F49" s="445"/>
      <c r="G49" s="495" t="s">
        <v>600</v>
      </c>
    </row>
    <row r="50" spans="1:7" s="244" customFormat="1" x14ac:dyDescent="0.35">
      <c r="A50" s="240">
        <v>7</v>
      </c>
      <c r="B50" s="251" t="s">
        <v>580</v>
      </c>
      <c r="C50" s="241"/>
      <c r="D50" s="274"/>
      <c r="E50" s="241"/>
      <c r="F50" s="960" t="s">
        <v>303</v>
      </c>
      <c r="G50" s="382" t="s">
        <v>587</v>
      </c>
    </row>
    <row r="51" spans="1:7" s="244" customFormat="1" x14ac:dyDescent="0.35">
      <c r="A51" s="245" t="s">
        <v>578</v>
      </c>
      <c r="B51" s="250" t="s">
        <v>579</v>
      </c>
      <c r="C51" s="241"/>
      <c r="D51" s="242">
        <f>400*5</f>
        <v>2000</v>
      </c>
      <c r="E51" s="248">
        <f>C51*D51</f>
        <v>0</v>
      </c>
      <c r="F51" s="961"/>
      <c r="G51" s="382" t="s">
        <v>587</v>
      </c>
    </row>
    <row r="52" spans="1:7" s="244" customFormat="1" x14ac:dyDescent="0.35">
      <c r="A52" s="245" t="s">
        <v>581</v>
      </c>
      <c r="B52" s="250" t="s">
        <v>582</v>
      </c>
      <c r="C52" s="241"/>
      <c r="D52" s="272">
        <f>3000*5</f>
        <v>15000</v>
      </c>
      <c r="E52" s="248">
        <f>C52*D52</f>
        <v>0</v>
      </c>
      <c r="F52" s="961"/>
      <c r="G52" s="382" t="s">
        <v>587</v>
      </c>
    </row>
    <row r="53" spans="1:7" s="244" customFormat="1" x14ac:dyDescent="0.35">
      <c r="A53" s="240">
        <v>8</v>
      </c>
      <c r="B53" s="241" t="s">
        <v>305</v>
      </c>
      <c r="C53" s="241"/>
      <c r="D53" s="493"/>
      <c r="E53" s="241"/>
      <c r="F53" s="961"/>
      <c r="G53" s="382" t="s">
        <v>587</v>
      </c>
    </row>
    <row r="54" spans="1:7" x14ac:dyDescent="0.35">
      <c r="A54" s="245" t="s">
        <v>583</v>
      </c>
      <c r="B54" s="248" t="s">
        <v>306</v>
      </c>
      <c r="C54" s="248"/>
      <c r="D54" s="272">
        <f>1300*5</f>
        <v>6500</v>
      </c>
      <c r="E54" s="248">
        <f>C54*D54</f>
        <v>0</v>
      </c>
      <c r="F54" s="961"/>
      <c r="G54" s="382" t="s">
        <v>587</v>
      </c>
    </row>
    <row r="55" spans="1:7" x14ac:dyDescent="0.35">
      <c r="A55" s="245" t="s">
        <v>584</v>
      </c>
      <c r="B55" s="248" t="s">
        <v>307</v>
      </c>
      <c r="C55" s="248"/>
      <c r="D55" s="272">
        <f>1200*5</f>
        <v>6000</v>
      </c>
      <c r="E55" s="248">
        <f>C55*D55</f>
        <v>0</v>
      </c>
      <c r="F55" s="961"/>
      <c r="G55" s="382" t="s">
        <v>587</v>
      </c>
    </row>
    <row r="56" spans="1:7" x14ac:dyDescent="0.35">
      <c r="A56" s="245" t="s">
        <v>585</v>
      </c>
      <c r="B56" s="248" t="s">
        <v>308</v>
      </c>
      <c r="C56" s="248"/>
      <c r="D56" s="272">
        <f>1300*5</f>
        <v>6500</v>
      </c>
      <c r="E56" s="248">
        <f>C56*D56</f>
        <v>0</v>
      </c>
      <c r="F56" s="961"/>
      <c r="G56" s="382" t="s">
        <v>587</v>
      </c>
    </row>
    <row r="57" spans="1:7" x14ac:dyDescent="0.35">
      <c r="A57" s="245" t="s">
        <v>586</v>
      </c>
      <c r="B57" s="248" t="s">
        <v>309</v>
      </c>
      <c r="C57" s="248"/>
      <c r="D57" s="272">
        <f>1100*5</f>
        <v>5500</v>
      </c>
      <c r="E57" s="248">
        <f>C57*D57</f>
        <v>0</v>
      </c>
      <c r="F57" s="961"/>
      <c r="G57" s="382" t="s">
        <v>587</v>
      </c>
    </row>
    <row r="58" spans="1:7" x14ac:dyDescent="0.35">
      <c r="A58" s="240">
        <v>9</v>
      </c>
      <c r="B58" s="241" t="s">
        <v>286</v>
      </c>
      <c r="C58" s="241"/>
      <c r="D58" s="274"/>
      <c r="E58" s="241"/>
      <c r="F58" s="962"/>
    </row>
    <row r="59" spans="1:7" x14ac:dyDescent="0.35">
      <c r="A59" s="240"/>
      <c r="B59" s="248" t="s">
        <v>602</v>
      </c>
      <c r="C59" s="241"/>
      <c r="D59" s="274"/>
      <c r="E59" s="241"/>
      <c r="F59" s="445"/>
    </row>
    <row r="60" spans="1:7" x14ac:dyDescent="0.35">
      <c r="A60" s="240"/>
      <c r="B60" s="248" t="s">
        <v>602</v>
      </c>
      <c r="C60" s="241"/>
      <c r="D60" s="274"/>
      <c r="E60" s="241"/>
      <c r="F60" s="445"/>
    </row>
    <row r="61" spans="1:7" x14ac:dyDescent="0.35">
      <c r="A61" s="240"/>
      <c r="B61" s="248" t="s">
        <v>602</v>
      </c>
      <c r="C61" s="241"/>
      <c r="D61" s="274"/>
      <c r="E61" s="241"/>
      <c r="F61" s="445"/>
    </row>
    <row r="62" spans="1:7" s="244" customFormat="1" ht="36.75" customHeight="1" x14ac:dyDescent="0.35">
      <c r="A62" s="417"/>
      <c r="B62" s="418" t="s">
        <v>310</v>
      </c>
      <c r="C62" s="419"/>
      <c r="D62" s="420"/>
      <c r="E62" s="419"/>
      <c r="F62" s="421"/>
      <c r="G62" s="226"/>
    </row>
    <row r="63" spans="1:7" x14ac:dyDescent="0.35">
      <c r="A63" s="240">
        <v>1</v>
      </c>
      <c r="B63" s="251" t="s">
        <v>296</v>
      </c>
      <c r="C63" s="248"/>
      <c r="D63" s="242"/>
      <c r="E63" s="248"/>
      <c r="F63" s="249"/>
    </row>
    <row r="64" spans="1:7" ht="87.75" customHeight="1" x14ac:dyDescent="0.35">
      <c r="A64" s="245"/>
      <c r="B64" s="250" t="s">
        <v>507</v>
      </c>
      <c r="C64" s="248"/>
      <c r="D64" s="247">
        <v>390</v>
      </c>
      <c r="E64" s="248">
        <f t="shared" ref="E64:E69" si="5">C64*D64</f>
        <v>0</v>
      </c>
      <c r="F64" s="427" t="s">
        <v>193</v>
      </c>
      <c r="G64" s="382" t="s">
        <v>518</v>
      </c>
    </row>
    <row r="65" spans="1:7" ht="87.75" customHeight="1" x14ac:dyDescent="0.35">
      <c r="A65" s="245"/>
      <c r="B65" s="250" t="s">
        <v>514</v>
      </c>
      <c r="C65" s="248"/>
      <c r="D65" s="247">
        <v>390</v>
      </c>
      <c r="E65" s="248">
        <f t="shared" si="5"/>
        <v>0</v>
      </c>
      <c r="F65" s="427" t="s">
        <v>193</v>
      </c>
      <c r="G65" s="382" t="s">
        <v>518</v>
      </c>
    </row>
    <row r="66" spans="1:7" ht="87.75" customHeight="1" x14ac:dyDescent="0.35">
      <c r="A66" s="245"/>
      <c r="B66" s="250" t="s">
        <v>515</v>
      </c>
      <c r="C66" s="248"/>
      <c r="D66" s="247">
        <v>430</v>
      </c>
      <c r="E66" s="248">
        <f t="shared" si="5"/>
        <v>0</v>
      </c>
      <c r="F66" s="427" t="s">
        <v>193</v>
      </c>
      <c r="G66" s="382" t="s">
        <v>518</v>
      </c>
    </row>
    <row r="67" spans="1:7" ht="79.5" customHeight="1" x14ac:dyDescent="0.35">
      <c r="A67" s="245"/>
      <c r="B67" s="250" t="s">
        <v>519</v>
      </c>
      <c r="C67" s="248"/>
      <c r="D67" s="247">
        <v>480</v>
      </c>
      <c r="E67" s="248">
        <f t="shared" si="5"/>
        <v>0</v>
      </c>
      <c r="F67" s="427" t="s">
        <v>193</v>
      </c>
      <c r="G67" s="382" t="s">
        <v>518</v>
      </c>
    </row>
    <row r="68" spans="1:7" ht="79.5" customHeight="1" x14ac:dyDescent="0.35">
      <c r="A68" s="245"/>
      <c r="B68" s="250" t="s">
        <v>520</v>
      </c>
      <c r="C68" s="248"/>
      <c r="D68" s="247">
        <v>480</v>
      </c>
      <c r="E68" s="248">
        <f t="shared" si="5"/>
        <v>0</v>
      </c>
      <c r="F68" s="427" t="s">
        <v>193</v>
      </c>
      <c r="G68" s="382" t="s">
        <v>518</v>
      </c>
    </row>
    <row r="69" spans="1:7" ht="87.75" customHeight="1" x14ac:dyDescent="0.35">
      <c r="A69" s="245"/>
      <c r="B69" s="250" t="s">
        <v>513</v>
      </c>
      <c r="C69" s="248"/>
      <c r="D69" s="247">
        <v>390</v>
      </c>
      <c r="E69" s="248">
        <f t="shared" si="5"/>
        <v>0</v>
      </c>
      <c r="F69" s="427" t="s">
        <v>193</v>
      </c>
      <c r="G69" s="382" t="s">
        <v>518</v>
      </c>
    </row>
    <row r="70" spans="1:7" x14ac:dyDescent="0.35">
      <c r="A70" s="240">
        <v>2</v>
      </c>
      <c r="B70" s="251" t="s">
        <v>297</v>
      </c>
      <c r="C70" s="248"/>
      <c r="D70" s="247"/>
      <c r="E70" s="248"/>
      <c r="F70" s="249"/>
    </row>
    <row r="71" spans="1:7" ht="87.75" customHeight="1" x14ac:dyDescent="0.35">
      <c r="A71" s="245"/>
      <c r="B71" s="250" t="s">
        <v>507</v>
      </c>
      <c r="C71" s="248"/>
      <c r="D71" s="247">
        <f>390*1.5</f>
        <v>585</v>
      </c>
      <c r="E71" s="248">
        <f t="shared" ref="E71:E76" si="6">C71*D71</f>
        <v>0</v>
      </c>
      <c r="F71" s="444" t="s">
        <v>193</v>
      </c>
      <c r="G71" s="382" t="s">
        <v>517</v>
      </c>
    </row>
    <row r="72" spans="1:7" ht="87.75" customHeight="1" x14ac:dyDescent="0.35">
      <c r="A72" s="245"/>
      <c r="B72" s="250" t="s">
        <v>514</v>
      </c>
      <c r="C72" s="248"/>
      <c r="D72" s="247">
        <f>390*1.5</f>
        <v>585</v>
      </c>
      <c r="E72" s="248">
        <f t="shared" si="6"/>
        <v>0</v>
      </c>
      <c r="F72" s="444" t="s">
        <v>193</v>
      </c>
      <c r="G72" s="382" t="s">
        <v>517</v>
      </c>
    </row>
    <row r="73" spans="1:7" ht="87.75" customHeight="1" x14ac:dyDescent="0.35">
      <c r="A73" s="245"/>
      <c r="B73" s="250" t="s">
        <v>515</v>
      </c>
      <c r="C73" s="248"/>
      <c r="D73" s="247">
        <v>430</v>
      </c>
      <c r="E73" s="248">
        <f t="shared" si="6"/>
        <v>0</v>
      </c>
      <c r="F73" s="444" t="s">
        <v>193</v>
      </c>
      <c r="G73" s="382" t="s">
        <v>517</v>
      </c>
    </row>
    <row r="74" spans="1:7" ht="79.5" customHeight="1" x14ac:dyDescent="0.35">
      <c r="A74" s="245"/>
      <c r="B74" s="250" t="s">
        <v>519</v>
      </c>
      <c r="C74" s="248"/>
      <c r="D74" s="247">
        <f>480*1.5</f>
        <v>720</v>
      </c>
      <c r="E74" s="248">
        <f t="shared" si="6"/>
        <v>0</v>
      </c>
      <c r="F74" s="444" t="s">
        <v>193</v>
      </c>
      <c r="G74" s="382" t="s">
        <v>517</v>
      </c>
    </row>
    <row r="75" spans="1:7" ht="79.5" customHeight="1" x14ac:dyDescent="0.35">
      <c r="A75" s="245"/>
      <c r="B75" s="250" t="s">
        <v>520</v>
      </c>
      <c r="C75" s="248"/>
      <c r="D75" s="247">
        <f>480*1.5</f>
        <v>720</v>
      </c>
      <c r="E75" s="248">
        <f t="shared" si="6"/>
        <v>0</v>
      </c>
      <c r="F75" s="444" t="s">
        <v>193</v>
      </c>
      <c r="G75" s="382" t="s">
        <v>517</v>
      </c>
    </row>
    <row r="76" spans="1:7" ht="87.75" customHeight="1" x14ac:dyDescent="0.35">
      <c r="A76" s="245"/>
      <c r="B76" s="250" t="s">
        <v>513</v>
      </c>
      <c r="C76" s="248"/>
      <c r="D76" s="247">
        <f>390*1.5</f>
        <v>585</v>
      </c>
      <c r="E76" s="248">
        <f t="shared" si="6"/>
        <v>0</v>
      </c>
      <c r="F76" s="444" t="s">
        <v>193</v>
      </c>
      <c r="G76" s="382" t="s">
        <v>517</v>
      </c>
    </row>
    <row r="77" spans="1:7" x14ac:dyDescent="0.35">
      <c r="A77" s="240">
        <v>3</v>
      </c>
      <c r="B77" s="251" t="s">
        <v>298</v>
      </c>
      <c r="C77" s="270"/>
      <c r="D77" s="247">
        <f>480*1.5</f>
        <v>720</v>
      </c>
      <c r="E77" s="248"/>
      <c r="F77" s="249"/>
    </row>
    <row r="78" spans="1:7" ht="87.75" customHeight="1" x14ac:dyDescent="0.35">
      <c r="A78" s="245"/>
      <c r="B78" s="250" t="s">
        <v>507</v>
      </c>
      <c r="C78" s="248"/>
      <c r="D78" s="247">
        <f>390*1.5</f>
        <v>585</v>
      </c>
      <c r="E78" s="248">
        <f t="shared" ref="E78:E83" si="7">C78*D78</f>
        <v>0</v>
      </c>
      <c r="F78" s="444" t="s">
        <v>193</v>
      </c>
      <c r="G78" s="382" t="s">
        <v>517</v>
      </c>
    </row>
    <row r="79" spans="1:7" ht="87.75" customHeight="1" x14ac:dyDescent="0.35">
      <c r="A79" s="245"/>
      <c r="B79" s="250" t="s">
        <v>514</v>
      </c>
      <c r="C79" s="248"/>
      <c r="D79" s="247">
        <f>390*1.5</f>
        <v>585</v>
      </c>
      <c r="E79" s="248">
        <f t="shared" si="7"/>
        <v>0</v>
      </c>
      <c r="F79" s="444" t="s">
        <v>193</v>
      </c>
      <c r="G79" s="382" t="s">
        <v>517</v>
      </c>
    </row>
    <row r="80" spans="1:7" ht="87.75" customHeight="1" x14ac:dyDescent="0.35">
      <c r="A80" s="245"/>
      <c r="B80" s="250" t="s">
        <v>515</v>
      </c>
      <c r="C80" s="248"/>
      <c r="D80" s="247">
        <v>430</v>
      </c>
      <c r="E80" s="248">
        <f t="shared" si="7"/>
        <v>0</v>
      </c>
      <c r="F80" s="444" t="s">
        <v>193</v>
      </c>
      <c r="G80" s="382" t="s">
        <v>517</v>
      </c>
    </row>
    <row r="81" spans="1:7" ht="79.5" customHeight="1" x14ac:dyDescent="0.35">
      <c r="A81" s="245"/>
      <c r="B81" s="250" t="s">
        <v>519</v>
      </c>
      <c r="C81" s="248"/>
      <c r="D81" s="247">
        <f>480*1.5</f>
        <v>720</v>
      </c>
      <c r="E81" s="248">
        <f t="shared" si="7"/>
        <v>0</v>
      </c>
      <c r="F81" s="444" t="s">
        <v>193</v>
      </c>
      <c r="G81" s="382" t="s">
        <v>517</v>
      </c>
    </row>
    <row r="82" spans="1:7" ht="79.5" customHeight="1" x14ac:dyDescent="0.35">
      <c r="A82" s="245"/>
      <c r="B82" s="250" t="s">
        <v>520</v>
      </c>
      <c r="C82" s="248"/>
      <c r="D82" s="247">
        <f>480*1.5</f>
        <v>720</v>
      </c>
      <c r="E82" s="248">
        <f t="shared" si="7"/>
        <v>0</v>
      </c>
      <c r="F82" s="444" t="s">
        <v>193</v>
      </c>
      <c r="G82" s="382" t="s">
        <v>517</v>
      </c>
    </row>
    <row r="83" spans="1:7" ht="87.75" customHeight="1" x14ac:dyDescent="0.35">
      <c r="A83" s="245"/>
      <c r="B83" s="250" t="s">
        <v>513</v>
      </c>
      <c r="C83" s="248"/>
      <c r="D83" s="247">
        <f>390*1.5</f>
        <v>585</v>
      </c>
      <c r="E83" s="248">
        <f t="shared" si="7"/>
        <v>0</v>
      </c>
      <c r="F83" s="444" t="s">
        <v>193</v>
      </c>
      <c r="G83" s="382" t="s">
        <v>517</v>
      </c>
    </row>
    <row r="84" spans="1:7" ht="19.5" customHeight="1" x14ac:dyDescent="0.35">
      <c r="A84" s="240">
        <v>4</v>
      </c>
      <c r="B84" s="251" t="s">
        <v>299</v>
      </c>
      <c r="C84" s="270"/>
      <c r="D84" s="247"/>
      <c r="E84" s="248"/>
      <c r="F84" s="249"/>
    </row>
    <row r="85" spans="1:7" ht="94.5" customHeight="1" x14ac:dyDescent="0.35">
      <c r="A85" s="245"/>
      <c r="B85" s="250" t="s">
        <v>465</v>
      </c>
      <c r="C85" s="270"/>
      <c r="D85" s="247">
        <f>ROUND((1250*1.5*10*2+10000)/60,0)</f>
        <v>792</v>
      </c>
      <c r="E85" s="248">
        <f>C85*D85</f>
        <v>0</v>
      </c>
      <c r="F85" s="269" t="s">
        <v>193</v>
      </c>
    </row>
    <row r="86" spans="1:7" ht="41.25" customHeight="1" x14ac:dyDescent="0.35">
      <c r="A86" s="245"/>
      <c r="B86" s="250" t="s">
        <v>467</v>
      </c>
      <c r="C86" s="270"/>
      <c r="D86" s="247">
        <f>ROUND((1350*1.5*10*2+10000)/60,0)</f>
        <v>842</v>
      </c>
      <c r="E86" s="248">
        <f>C86*D86</f>
        <v>0</v>
      </c>
      <c r="F86" s="269" t="s">
        <v>193</v>
      </c>
    </row>
    <row r="87" spans="1:7" ht="77.5" x14ac:dyDescent="0.35">
      <c r="A87" s="245"/>
      <c r="B87" s="250" t="s">
        <v>466</v>
      </c>
      <c r="C87" s="248"/>
      <c r="D87" s="247">
        <f>ROUND((1450*1.5*10*2+10000)/60,0)</f>
        <v>892</v>
      </c>
      <c r="E87" s="248">
        <f>C87*D87</f>
        <v>0</v>
      </c>
      <c r="F87" s="269" t="s">
        <v>193</v>
      </c>
    </row>
    <row r="88" spans="1:7" x14ac:dyDescent="0.35">
      <c r="A88" s="240">
        <v>5</v>
      </c>
      <c r="B88" s="251" t="s">
        <v>300</v>
      </c>
      <c r="C88" s="248"/>
      <c r="D88" s="247"/>
      <c r="E88" s="248"/>
      <c r="F88" s="249"/>
    </row>
    <row r="89" spans="1:7" ht="94.5" customHeight="1" x14ac:dyDescent="0.35">
      <c r="A89" s="245"/>
      <c r="B89" s="250" t="s">
        <v>465</v>
      </c>
      <c r="C89" s="248">
        <v>0</v>
      </c>
      <c r="D89" s="271">
        <f>1250*10*2.5+8000</f>
        <v>39250</v>
      </c>
      <c r="E89" s="248">
        <f>C89*D89</f>
        <v>0</v>
      </c>
      <c r="F89" s="963" t="s">
        <v>301</v>
      </c>
    </row>
    <row r="90" spans="1:7" ht="26.25" customHeight="1" x14ac:dyDescent="0.35">
      <c r="A90" s="245"/>
      <c r="B90" s="250" t="s">
        <v>467</v>
      </c>
      <c r="C90" s="248">
        <v>0</v>
      </c>
      <c r="D90" s="271">
        <f>1350*10*2.5+8000</f>
        <v>41750</v>
      </c>
      <c r="E90" s="248">
        <f>C90*D90</f>
        <v>0</v>
      </c>
      <c r="F90" s="964"/>
    </row>
    <row r="91" spans="1:7" ht="71.25" customHeight="1" x14ac:dyDescent="0.35">
      <c r="A91" s="245"/>
      <c r="B91" s="250" t="s">
        <v>466</v>
      </c>
      <c r="C91" s="248"/>
      <c r="D91" s="271">
        <f>1450*10*2.5+8000</f>
        <v>44250</v>
      </c>
      <c r="E91" s="248">
        <f>C91*D91</f>
        <v>0</v>
      </c>
      <c r="F91" s="965"/>
    </row>
    <row r="92" spans="1:7" x14ac:dyDescent="0.35">
      <c r="A92" s="240">
        <v>6</v>
      </c>
      <c r="B92" s="251" t="s">
        <v>302</v>
      </c>
      <c r="C92" s="248"/>
      <c r="D92" s="242">
        <f>400*5</f>
        <v>2000</v>
      </c>
      <c r="E92" s="248">
        <f>C92*D92</f>
        <v>0</v>
      </c>
      <c r="F92" s="495"/>
      <c r="G92" s="495" t="s">
        <v>600</v>
      </c>
    </row>
    <row r="93" spans="1:7" x14ac:dyDescent="0.35">
      <c r="A93" s="240">
        <v>7</v>
      </c>
      <c r="B93" s="241" t="s">
        <v>304</v>
      </c>
      <c r="C93" s="248"/>
      <c r="D93" s="272">
        <f>3000*5</f>
        <v>15000</v>
      </c>
      <c r="E93" s="248">
        <f>C93*D93</f>
        <v>0</v>
      </c>
      <c r="F93" s="496"/>
      <c r="G93" s="495" t="s">
        <v>600</v>
      </c>
    </row>
    <row r="94" spans="1:7" x14ac:dyDescent="0.35">
      <c r="A94" s="240">
        <v>8</v>
      </c>
      <c r="B94" s="241" t="s">
        <v>305</v>
      </c>
      <c r="C94" s="248"/>
      <c r="D94" s="273"/>
      <c r="E94" s="248"/>
      <c r="F94" s="496"/>
      <c r="G94" s="495" t="s">
        <v>600</v>
      </c>
    </row>
    <row r="95" spans="1:7" x14ac:dyDescent="0.35">
      <c r="A95" s="245"/>
      <c r="B95" s="248" t="s">
        <v>306</v>
      </c>
      <c r="C95" s="248"/>
      <c r="D95" s="272">
        <f>1300*5</f>
        <v>6500</v>
      </c>
      <c r="E95" s="248">
        <f>C95*D95</f>
        <v>0</v>
      </c>
      <c r="F95" s="496"/>
      <c r="G95" s="495" t="s">
        <v>600</v>
      </c>
    </row>
    <row r="96" spans="1:7" x14ac:dyDescent="0.35">
      <c r="A96" s="245"/>
      <c r="B96" s="248" t="s">
        <v>307</v>
      </c>
      <c r="C96" s="248"/>
      <c r="D96" s="272">
        <f>1200*5</f>
        <v>6000</v>
      </c>
      <c r="E96" s="248">
        <f>C96*D96</f>
        <v>0</v>
      </c>
      <c r="F96" s="496"/>
      <c r="G96" s="495" t="s">
        <v>600</v>
      </c>
    </row>
    <row r="97" spans="1:7" x14ac:dyDescent="0.35">
      <c r="A97" s="245"/>
      <c r="B97" s="248" t="s">
        <v>308</v>
      </c>
      <c r="C97" s="248"/>
      <c r="D97" s="272">
        <f>1300*5</f>
        <v>6500</v>
      </c>
      <c r="E97" s="248">
        <f>C97*D97</f>
        <v>0</v>
      </c>
      <c r="F97" s="496"/>
      <c r="G97" s="495" t="s">
        <v>600</v>
      </c>
    </row>
    <row r="98" spans="1:7" x14ac:dyDescent="0.35">
      <c r="A98" s="245"/>
      <c r="B98" s="248" t="s">
        <v>309</v>
      </c>
      <c r="C98" s="248"/>
      <c r="D98" s="272">
        <f>1100*5</f>
        <v>5500</v>
      </c>
      <c r="E98" s="248">
        <f>C98*D98</f>
        <v>0</v>
      </c>
      <c r="F98" s="496"/>
      <c r="G98" s="495" t="s">
        <v>600</v>
      </c>
    </row>
    <row r="99" spans="1:7" x14ac:dyDescent="0.35">
      <c r="A99" s="240">
        <v>9</v>
      </c>
      <c r="B99" s="241" t="s">
        <v>592</v>
      </c>
      <c r="C99" s="248"/>
      <c r="D99" s="242"/>
      <c r="E99" s="248"/>
      <c r="F99" s="497"/>
      <c r="G99" s="495" t="s">
        <v>600</v>
      </c>
    </row>
    <row r="100" spans="1:7" x14ac:dyDescent="0.35">
      <c r="A100" s="245" t="s">
        <v>593</v>
      </c>
      <c r="B100" s="248" t="s">
        <v>596</v>
      </c>
      <c r="C100" s="248"/>
      <c r="D100" s="242">
        <f>50*5*23</f>
        <v>5750</v>
      </c>
      <c r="E100" s="248">
        <f>C100*D100</f>
        <v>0</v>
      </c>
      <c r="F100" s="445"/>
      <c r="G100" s="495" t="s">
        <v>600</v>
      </c>
    </row>
    <row r="101" spans="1:7" x14ac:dyDescent="0.35">
      <c r="A101" s="245" t="s">
        <v>594</v>
      </c>
      <c r="B101" s="248" t="s">
        <v>497</v>
      </c>
      <c r="C101" s="248"/>
      <c r="D101" s="242">
        <f>50*5*23</f>
        <v>5750</v>
      </c>
      <c r="E101" s="248">
        <f>C101*D101</f>
        <v>0</v>
      </c>
      <c r="F101" s="445"/>
      <c r="G101" s="495" t="s">
        <v>600</v>
      </c>
    </row>
    <row r="102" spans="1:7" x14ac:dyDescent="0.35">
      <c r="A102" s="245" t="s">
        <v>595</v>
      </c>
      <c r="B102" s="248" t="s">
        <v>597</v>
      </c>
      <c r="C102" s="248"/>
      <c r="D102" s="242">
        <f>80*5*23</f>
        <v>9200</v>
      </c>
      <c r="E102" s="248">
        <f>C102*D102</f>
        <v>0</v>
      </c>
      <c r="F102" s="445"/>
      <c r="G102" s="495" t="s">
        <v>600</v>
      </c>
    </row>
    <row r="103" spans="1:7" x14ac:dyDescent="0.35">
      <c r="A103" s="245" t="s">
        <v>599</v>
      </c>
      <c r="B103" s="248" t="s">
        <v>598</v>
      </c>
      <c r="C103" s="248"/>
      <c r="D103" s="242">
        <f>100*5*23</f>
        <v>11500</v>
      </c>
      <c r="E103" s="248">
        <f>C103*D103</f>
        <v>0</v>
      </c>
      <c r="F103" s="445"/>
      <c r="G103" s="495" t="s">
        <v>600</v>
      </c>
    </row>
    <row r="104" spans="1:7" s="244" customFormat="1" ht="21.75" customHeight="1" x14ac:dyDescent="0.35">
      <c r="A104" s="240" t="s">
        <v>41</v>
      </c>
      <c r="B104" s="241" t="s">
        <v>311</v>
      </c>
      <c r="C104" s="241"/>
      <c r="D104" s="274"/>
      <c r="E104" s="241">
        <f>SUM(E105:E105)</f>
        <v>0</v>
      </c>
      <c r="F104" s="243"/>
      <c r="G104" s="226"/>
    </row>
    <row r="105" spans="1:7" s="244" customFormat="1" ht="30" customHeight="1" x14ac:dyDescent="0.35">
      <c r="A105" s="245">
        <v>1</v>
      </c>
      <c r="B105" s="248" t="s">
        <v>312</v>
      </c>
      <c r="C105" s="248"/>
      <c r="D105" s="242"/>
      <c r="E105" s="248">
        <f>'[1]Bieu 8-BD ngan han'!F23</f>
        <v>0</v>
      </c>
      <c r="F105" s="243"/>
      <c r="G105" s="226"/>
    </row>
    <row r="106" spans="1:7" s="244" customFormat="1" ht="30" customHeight="1" x14ac:dyDescent="0.35">
      <c r="A106" s="503">
        <v>2</v>
      </c>
      <c r="B106" s="277" t="s">
        <v>613</v>
      </c>
      <c r="C106" s="277"/>
      <c r="D106" s="276"/>
      <c r="E106" s="277"/>
      <c r="F106" s="501"/>
      <c r="G106" s="226"/>
    </row>
    <row r="107" spans="1:7" s="244" customFormat="1" ht="30" customHeight="1" x14ac:dyDescent="0.35">
      <c r="A107" s="503">
        <v>3</v>
      </c>
      <c r="B107" s="498" t="s">
        <v>612</v>
      </c>
      <c r="C107" s="277"/>
      <c r="D107" s="276"/>
      <c r="E107" s="277"/>
      <c r="F107" s="501"/>
      <c r="G107" s="226"/>
    </row>
    <row r="108" spans="1:7" s="244" customFormat="1" ht="30" customHeight="1" x14ac:dyDescent="0.35">
      <c r="A108" s="503">
        <v>4</v>
      </c>
      <c r="B108" s="277"/>
      <c r="C108" s="277"/>
      <c r="D108" s="276"/>
      <c r="E108" s="277"/>
      <c r="F108" s="501"/>
      <c r="G108" s="226"/>
    </row>
    <row r="109" spans="1:7" s="244" customFormat="1" ht="30" customHeight="1" x14ac:dyDescent="0.35">
      <c r="A109" s="502"/>
      <c r="B109" s="275"/>
      <c r="C109" s="275"/>
      <c r="D109" s="500"/>
      <c r="E109" s="275"/>
      <c r="F109" s="501"/>
      <c r="G109" s="226"/>
    </row>
    <row r="110" spans="1:7" s="244" customFormat="1" ht="30" customHeight="1" x14ac:dyDescent="0.35">
      <c r="A110" s="502"/>
      <c r="B110" s="275"/>
      <c r="C110" s="275"/>
      <c r="D110" s="500"/>
      <c r="E110" s="275"/>
      <c r="F110" s="501"/>
      <c r="G110" s="226"/>
    </row>
    <row r="111" spans="1:7" ht="21.75" customHeight="1" thickBot="1" x14ac:dyDescent="0.4">
      <c r="A111" s="254"/>
      <c r="B111" s="256"/>
      <c r="C111" s="255"/>
      <c r="D111" s="257"/>
      <c r="E111" s="256"/>
      <c r="F111" s="258"/>
    </row>
    <row r="112" spans="1:7" s="259" customFormat="1" ht="16" thickTop="1" x14ac:dyDescent="0.35">
      <c r="D112" s="959" t="s">
        <v>288</v>
      </c>
      <c r="E112" s="959"/>
      <c r="F112" s="959"/>
      <c r="G112" s="447"/>
    </row>
    <row r="113" spans="1:6" x14ac:dyDescent="0.35">
      <c r="B113" s="955"/>
      <c r="C113" s="955"/>
      <c r="D113" s="955"/>
      <c r="E113" s="957"/>
      <c r="F113" s="957"/>
    </row>
    <row r="114" spans="1:6" ht="77.25" customHeight="1" x14ac:dyDescent="0.35">
      <c r="A114" s="945" t="s">
        <v>315</v>
      </c>
      <c r="B114" s="955"/>
      <c r="C114" s="955"/>
      <c r="D114" s="955"/>
    </row>
    <row r="115" spans="1:6" x14ac:dyDescent="0.35">
      <c r="A115" s="244" t="s">
        <v>180</v>
      </c>
    </row>
    <row r="116" spans="1:6" ht="79.5" customHeight="1" x14ac:dyDescent="0.35">
      <c r="A116" s="235" t="s">
        <v>316</v>
      </c>
    </row>
    <row r="117" spans="1:6" ht="39.75" customHeight="1" x14ac:dyDescent="0.35">
      <c r="A117" s="235" t="s">
        <v>317</v>
      </c>
    </row>
    <row r="118" spans="1:6" ht="39.75" customHeight="1" x14ac:dyDescent="0.35">
      <c r="A118" s="235" t="s">
        <v>318</v>
      </c>
    </row>
  </sheetData>
  <mergeCells count="10">
    <mergeCell ref="A114:D114"/>
    <mergeCell ref="A1:B1"/>
    <mergeCell ref="A2:B2"/>
    <mergeCell ref="A3:F3"/>
    <mergeCell ref="E4:F4"/>
    <mergeCell ref="F50:F58"/>
    <mergeCell ref="F89:F91"/>
    <mergeCell ref="D112:F112"/>
    <mergeCell ref="B113:D113"/>
    <mergeCell ref="E113:F113"/>
  </mergeCells>
  <pageMargins left="0.38" right="0.17" top="0.75" bottom="0.3" header="0.3" footer="0.3"/>
  <pageSetup paperSize="9" scale="86"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6C8F6-87E8-403E-8510-A822630C1168}">
  <sheetPr>
    <tabColor rgb="FF00B050"/>
    <pageSetUpPr fitToPage="1"/>
  </sheetPr>
  <dimension ref="A1:AE33"/>
  <sheetViews>
    <sheetView topLeftCell="G35" zoomScale="80" zoomScaleNormal="80" workbookViewId="0">
      <selection activeCell="N27" sqref="A27:AC58"/>
    </sheetView>
  </sheetViews>
  <sheetFormatPr defaultColWidth="9" defaultRowHeight="15.5" x14ac:dyDescent="0.35"/>
  <cols>
    <col min="1" max="1" width="5.08984375" style="235" customWidth="1"/>
    <col min="2" max="2" width="52.36328125" style="235" customWidth="1"/>
    <col min="3" max="3" width="17.453125" style="235" customWidth="1"/>
    <col min="4" max="4" width="14" style="235" customWidth="1"/>
    <col min="5" max="5" width="10.08984375" style="235" customWidth="1"/>
    <col min="6" max="6" width="15.36328125" style="235" customWidth="1"/>
    <col min="7" max="7" width="13.26953125" style="235" customWidth="1"/>
    <col min="8" max="8" width="15.90625" style="235" customWidth="1"/>
    <col min="9" max="9" width="8.90625" style="235" customWidth="1"/>
    <col min="10" max="10" width="18.6328125" style="235" customWidth="1"/>
    <col min="11" max="11" width="12" style="235" customWidth="1"/>
    <col min="12" max="12" width="15.90625" style="235" customWidth="1"/>
    <col min="13" max="13" width="10.7265625" style="235" customWidth="1"/>
    <col min="14" max="14" width="18.90625" style="235" customWidth="1"/>
    <col min="15" max="15" width="10.08984375" style="235" customWidth="1"/>
    <col min="16" max="16" width="19.26953125" style="235" customWidth="1"/>
    <col min="17" max="17" width="14.36328125" style="235" customWidth="1"/>
    <col min="18" max="18" width="10.08984375" style="235" customWidth="1"/>
    <col min="19" max="19" width="13.90625" style="235" customWidth="1"/>
    <col min="20" max="20" width="10.08984375" style="235" customWidth="1"/>
    <col min="21" max="21" width="15.08984375" style="235" customWidth="1"/>
    <col min="22" max="22" width="10.08984375" style="235" customWidth="1"/>
    <col min="23" max="23" width="14.453125" style="235" customWidth="1"/>
    <col min="24" max="24" width="10.08984375" style="235" customWidth="1"/>
    <col min="25" max="25" width="14.7265625" style="235" customWidth="1"/>
    <col min="26" max="26" width="10.08984375" style="235" customWidth="1"/>
    <col min="27" max="27" width="15.36328125" style="235" customWidth="1"/>
    <col min="28" max="28" width="18" style="235" customWidth="1"/>
    <col min="29" max="29" width="16.7265625" style="235" customWidth="1"/>
    <col min="30" max="30" width="11.36328125" style="235" customWidth="1"/>
    <col min="31" max="31" width="48" style="382" customWidth="1"/>
    <col min="32" max="16384" width="9" style="235"/>
  </cols>
  <sheetData>
    <row r="1" spans="1:31" x14ac:dyDescent="0.35">
      <c r="A1" s="956" t="s">
        <v>0</v>
      </c>
      <c r="B1" s="956"/>
      <c r="C1" s="541"/>
      <c r="D1" s="530"/>
      <c r="E1" s="530"/>
      <c r="F1" s="530"/>
      <c r="G1" s="530"/>
      <c r="H1" s="530"/>
      <c r="I1" s="530"/>
      <c r="J1" s="530"/>
      <c r="K1" s="530"/>
      <c r="L1" s="530"/>
      <c r="M1" s="530"/>
      <c r="N1" s="530"/>
      <c r="O1" s="530"/>
      <c r="P1" s="530"/>
      <c r="Q1" s="530"/>
      <c r="R1" s="530"/>
      <c r="S1" s="530"/>
      <c r="T1" s="530"/>
      <c r="U1" s="530"/>
      <c r="V1" s="530"/>
      <c r="W1" s="530"/>
      <c r="X1" s="530"/>
      <c r="Y1" s="530"/>
      <c r="Z1" s="530"/>
      <c r="AA1" s="530"/>
      <c r="AB1" s="530"/>
      <c r="AD1" s="545" t="s">
        <v>614</v>
      </c>
    </row>
    <row r="2" spans="1:31" x14ac:dyDescent="0.35">
      <c r="A2" s="818" t="s">
        <v>278</v>
      </c>
      <c r="B2" s="818"/>
      <c r="C2" s="530"/>
      <c r="D2" s="530"/>
      <c r="E2" s="530"/>
      <c r="F2" s="530"/>
      <c r="G2" s="530"/>
      <c r="H2" s="530"/>
      <c r="I2" s="530"/>
      <c r="J2" s="530"/>
      <c r="K2" s="530"/>
      <c r="L2" s="530"/>
      <c r="M2" s="530"/>
      <c r="N2" s="530"/>
      <c r="O2" s="530"/>
      <c r="P2" s="530"/>
      <c r="Q2" s="530"/>
      <c r="R2" s="530"/>
      <c r="S2" s="530"/>
      <c r="T2" s="530"/>
      <c r="U2" s="530"/>
      <c r="V2" s="530"/>
      <c r="W2" s="530"/>
      <c r="X2" s="530"/>
      <c r="Y2" s="530"/>
      <c r="Z2" s="530"/>
      <c r="AA2" s="530"/>
      <c r="AB2" s="530"/>
      <c r="AC2" s="260"/>
    </row>
    <row r="3" spans="1:31" ht="35.25" customHeight="1" x14ac:dyDescent="0.35">
      <c r="B3" s="555"/>
      <c r="C3" s="851" t="s">
        <v>609</v>
      </c>
      <c r="D3" s="851"/>
      <c r="E3" s="851"/>
      <c r="F3" s="851"/>
      <c r="G3" s="851"/>
      <c r="H3" s="851"/>
      <c r="I3" s="851"/>
      <c r="J3" s="851"/>
      <c r="K3" s="851"/>
      <c r="L3" s="851"/>
      <c r="M3" s="851"/>
      <c r="N3" s="851"/>
      <c r="O3" s="851"/>
      <c r="P3" s="851" t="s">
        <v>609</v>
      </c>
      <c r="Q3" s="851"/>
      <c r="R3" s="851"/>
      <c r="S3" s="851"/>
      <c r="T3" s="851"/>
      <c r="U3" s="851"/>
      <c r="V3" s="851"/>
      <c r="W3" s="851"/>
      <c r="X3" s="851"/>
      <c r="Y3" s="851"/>
      <c r="Z3" s="851"/>
      <c r="AA3" s="851"/>
      <c r="AB3" s="851"/>
      <c r="AC3" s="555"/>
      <c r="AD3" s="555"/>
    </row>
    <row r="4" spans="1:31" ht="16" thickBot="1" x14ac:dyDescent="0.4">
      <c r="AD4" s="542"/>
    </row>
    <row r="5" spans="1:31" s="530" customFormat="1" ht="32.25" customHeight="1" thickTop="1" x14ac:dyDescent="0.35">
      <c r="A5" s="966" t="s">
        <v>281</v>
      </c>
      <c r="B5" s="966" t="s">
        <v>6</v>
      </c>
      <c r="C5" s="978" t="s">
        <v>708</v>
      </c>
      <c r="D5" s="979"/>
      <c r="E5" s="979"/>
      <c r="F5" s="979"/>
      <c r="G5" s="979"/>
      <c r="H5" s="979"/>
      <c r="I5" s="979"/>
      <c r="J5" s="979"/>
      <c r="K5" s="979"/>
      <c r="L5" s="979"/>
      <c r="M5" s="979"/>
      <c r="N5" s="979"/>
      <c r="O5" s="980"/>
      <c r="P5" s="981" t="s">
        <v>679</v>
      </c>
      <c r="Q5" s="982"/>
      <c r="R5" s="982"/>
      <c r="S5" s="982"/>
      <c r="T5" s="982"/>
      <c r="U5" s="982"/>
      <c r="V5" s="982"/>
      <c r="W5" s="982"/>
      <c r="X5" s="982"/>
      <c r="Y5" s="982"/>
      <c r="Z5" s="982"/>
      <c r="AA5" s="982"/>
      <c r="AB5" s="983"/>
      <c r="AC5" s="970" t="s">
        <v>688</v>
      </c>
      <c r="AD5" s="973" t="s">
        <v>16</v>
      </c>
      <c r="AE5" s="540"/>
    </row>
    <row r="6" spans="1:31" s="530" customFormat="1" ht="140.25" customHeight="1" x14ac:dyDescent="0.35">
      <c r="A6" s="967"/>
      <c r="B6" s="967"/>
      <c r="C6" s="976" t="s">
        <v>709</v>
      </c>
      <c r="D6" s="969" t="s">
        <v>507</v>
      </c>
      <c r="E6" s="969"/>
      <c r="F6" s="969" t="s">
        <v>514</v>
      </c>
      <c r="G6" s="969"/>
      <c r="H6" s="969" t="s">
        <v>515</v>
      </c>
      <c r="I6" s="969"/>
      <c r="J6" s="969" t="s">
        <v>519</v>
      </c>
      <c r="K6" s="969"/>
      <c r="L6" s="969" t="s">
        <v>520</v>
      </c>
      <c r="M6" s="969"/>
      <c r="N6" s="969" t="s">
        <v>513</v>
      </c>
      <c r="O6" s="969"/>
      <c r="P6" s="984" t="s">
        <v>706</v>
      </c>
      <c r="Q6" s="986" t="s">
        <v>507</v>
      </c>
      <c r="R6" s="986"/>
      <c r="S6" s="986" t="s">
        <v>514</v>
      </c>
      <c r="T6" s="986"/>
      <c r="U6" s="986" t="s">
        <v>515</v>
      </c>
      <c r="V6" s="986"/>
      <c r="W6" s="986" t="s">
        <v>519</v>
      </c>
      <c r="X6" s="986"/>
      <c r="Y6" s="986" t="s">
        <v>520</v>
      </c>
      <c r="Z6" s="986"/>
      <c r="AA6" s="986" t="s">
        <v>513</v>
      </c>
      <c r="AB6" s="986"/>
      <c r="AC6" s="971"/>
      <c r="AD6" s="974"/>
      <c r="AE6" s="540"/>
    </row>
    <row r="7" spans="1:31" s="530" customFormat="1" ht="113.25" customHeight="1" x14ac:dyDescent="0.35">
      <c r="A7" s="968"/>
      <c r="B7" s="968"/>
      <c r="C7" s="977"/>
      <c r="D7" s="651" t="s">
        <v>669</v>
      </c>
      <c r="E7" s="651" t="s">
        <v>668</v>
      </c>
      <c r="F7" s="651" t="s">
        <v>666</v>
      </c>
      <c r="G7" s="651" t="s">
        <v>667</v>
      </c>
      <c r="H7" s="651" t="s">
        <v>670</v>
      </c>
      <c r="I7" s="651" t="s">
        <v>671</v>
      </c>
      <c r="J7" s="651" t="s">
        <v>672</v>
      </c>
      <c r="K7" s="651" t="s">
        <v>673</v>
      </c>
      <c r="L7" s="651" t="s">
        <v>674</v>
      </c>
      <c r="M7" s="651" t="s">
        <v>675</v>
      </c>
      <c r="N7" s="651" t="s">
        <v>676</v>
      </c>
      <c r="O7" s="651" t="s">
        <v>677</v>
      </c>
      <c r="P7" s="985"/>
      <c r="Q7" s="351" t="s">
        <v>669</v>
      </c>
      <c r="R7" s="351" t="s">
        <v>668</v>
      </c>
      <c r="S7" s="351" t="s">
        <v>666</v>
      </c>
      <c r="T7" s="351" t="s">
        <v>667</v>
      </c>
      <c r="U7" s="351" t="s">
        <v>670</v>
      </c>
      <c r="V7" s="351" t="s">
        <v>671</v>
      </c>
      <c r="W7" s="351" t="s">
        <v>672</v>
      </c>
      <c r="X7" s="351" t="s">
        <v>673</v>
      </c>
      <c r="Y7" s="351" t="s">
        <v>674</v>
      </c>
      <c r="Z7" s="351" t="s">
        <v>675</v>
      </c>
      <c r="AA7" s="351" t="s">
        <v>676</v>
      </c>
      <c r="AB7" s="351" t="s">
        <v>677</v>
      </c>
      <c r="AC7" s="972"/>
      <c r="AD7" s="975"/>
      <c r="AE7" s="540"/>
    </row>
    <row r="8" spans="1:31" s="540" customFormat="1" ht="62.25" customHeight="1" x14ac:dyDescent="0.35">
      <c r="A8" s="658" t="s">
        <v>88</v>
      </c>
      <c r="B8" s="658" t="s">
        <v>89</v>
      </c>
      <c r="C8" s="727" t="s">
        <v>705</v>
      </c>
      <c r="D8" s="653" t="s">
        <v>91</v>
      </c>
      <c r="E8" s="653" t="s">
        <v>92</v>
      </c>
      <c r="F8" s="653" t="s">
        <v>152</v>
      </c>
      <c r="G8" s="653" t="s">
        <v>93</v>
      </c>
      <c r="H8" s="653" t="s">
        <v>153</v>
      </c>
      <c r="I8" s="653" t="s">
        <v>206</v>
      </c>
      <c r="J8" s="653" t="s">
        <v>94</v>
      </c>
      <c r="K8" s="653" t="s">
        <v>95</v>
      </c>
      <c r="L8" s="653" t="s">
        <v>96</v>
      </c>
      <c r="M8" s="653" t="s">
        <v>97</v>
      </c>
      <c r="N8" s="653" t="s">
        <v>98</v>
      </c>
      <c r="O8" s="653" t="s">
        <v>99</v>
      </c>
      <c r="P8" s="728" t="s">
        <v>707</v>
      </c>
      <c r="Q8" s="714" t="s">
        <v>101</v>
      </c>
      <c r="R8" s="714" t="s">
        <v>511</v>
      </c>
      <c r="S8" s="714" t="s">
        <v>693</v>
      </c>
      <c r="T8" s="714" t="s">
        <v>694</v>
      </c>
      <c r="U8" s="714" t="s">
        <v>695</v>
      </c>
      <c r="V8" s="714" t="s">
        <v>696</v>
      </c>
      <c r="W8" s="714" t="s">
        <v>697</v>
      </c>
      <c r="X8" s="714" t="s">
        <v>698</v>
      </c>
      <c r="Y8" s="714" t="s">
        <v>699</v>
      </c>
      <c r="Z8" s="714" t="s">
        <v>700</v>
      </c>
      <c r="AA8" s="714" t="s">
        <v>701</v>
      </c>
      <c r="AB8" s="714" t="s">
        <v>702</v>
      </c>
      <c r="AC8" s="717" t="s">
        <v>703</v>
      </c>
      <c r="AD8" s="659" t="s">
        <v>704</v>
      </c>
    </row>
    <row r="9" spans="1:31" s="244" customFormat="1" x14ac:dyDescent="0.35">
      <c r="A9" s="554"/>
      <c r="B9" s="554" t="s">
        <v>293</v>
      </c>
      <c r="C9" s="654"/>
      <c r="D9" s="654"/>
      <c r="E9" s="654"/>
      <c r="F9" s="654"/>
      <c r="G9" s="654"/>
      <c r="H9" s="654"/>
      <c r="I9" s="654"/>
      <c r="J9" s="654"/>
      <c r="K9" s="654"/>
      <c r="L9" s="654"/>
      <c r="M9" s="654"/>
      <c r="N9" s="654"/>
      <c r="O9" s="654"/>
      <c r="P9" s="715"/>
      <c r="Q9" s="715"/>
      <c r="R9" s="715"/>
      <c r="S9" s="715"/>
      <c r="T9" s="715"/>
      <c r="U9" s="715"/>
      <c r="V9" s="715"/>
      <c r="W9" s="715"/>
      <c r="X9" s="715"/>
      <c r="Y9" s="715"/>
      <c r="Z9" s="715"/>
      <c r="AA9" s="715"/>
      <c r="AB9" s="715"/>
      <c r="AC9" s="718"/>
      <c r="AD9" s="268"/>
      <c r="AE9" s="226"/>
    </row>
    <row r="10" spans="1:31" s="244" customFormat="1" x14ac:dyDescent="0.35">
      <c r="A10" s="554" t="s">
        <v>17</v>
      </c>
      <c r="B10" s="554" t="s">
        <v>482</v>
      </c>
      <c r="C10" s="654"/>
      <c r="D10" s="654"/>
      <c r="E10" s="654"/>
      <c r="F10" s="654"/>
      <c r="G10" s="654"/>
      <c r="H10" s="654"/>
      <c r="I10" s="654"/>
      <c r="J10" s="654"/>
      <c r="K10" s="654"/>
      <c r="L10" s="654"/>
      <c r="M10" s="654"/>
      <c r="N10" s="654"/>
      <c r="O10" s="654"/>
      <c r="P10" s="715"/>
      <c r="Q10" s="715"/>
      <c r="R10" s="715"/>
      <c r="S10" s="715"/>
      <c r="T10" s="715"/>
      <c r="U10" s="715"/>
      <c r="V10" s="715"/>
      <c r="W10" s="715"/>
      <c r="X10" s="715"/>
      <c r="Y10" s="715"/>
      <c r="Z10" s="715"/>
      <c r="AA10" s="715"/>
      <c r="AB10" s="715"/>
      <c r="AC10" s="719"/>
      <c r="AD10" s="425"/>
      <c r="AE10" s="226"/>
    </row>
    <row r="11" spans="1:31" s="244" customFormat="1" ht="23.25" customHeight="1" x14ac:dyDescent="0.35">
      <c r="A11" s="547" t="s">
        <v>19</v>
      </c>
      <c r="B11" s="554" t="s">
        <v>294</v>
      </c>
      <c r="C11" s="654"/>
      <c r="D11" s="654"/>
      <c r="E11" s="654"/>
      <c r="F11" s="654"/>
      <c r="G11" s="654"/>
      <c r="H11" s="654"/>
      <c r="I11" s="654"/>
      <c r="J11" s="654"/>
      <c r="K11" s="654"/>
      <c r="L11" s="654"/>
      <c r="M11" s="654"/>
      <c r="N11" s="654"/>
      <c r="O11" s="654"/>
      <c r="P11" s="715"/>
      <c r="Q11" s="715"/>
      <c r="R11" s="715"/>
      <c r="S11" s="715"/>
      <c r="T11" s="715"/>
      <c r="U11" s="715"/>
      <c r="V11" s="715"/>
      <c r="W11" s="715"/>
      <c r="X11" s="715"/>
      <c r="Y11" s="715"/>
      <c r="Z11" s="715"/>
      <c r="AA11" s="715"/>
      <c r="AB11" s="715"/>
      <c r="AC11" s="720"/>
      <c r="AD11" s="249"/>
      <c r="AE11" s="226"/>
    </row>
    <row r="12" spans="1:31" ht="24" customHeight="1" x14ac:dyDescent="0.35">
      <c r="A12" s="547">
        <v>1</v>
      </c>
      <c r="B12" s="548" t="s">
        <v>296</v>
      </c>
      <c r="C12" s="652">
        <f t="shared" ref="C12:C17" si="0">D12*E12+F12*G12+H12*I12+J12*K12+L12*M12+N12*O12</f>
        <v>0</v>
      </c>
      <c r="D12" s="655"/>
      <c r="E12" s="655">
        <v>310</v>
      </c>
      <c r="F12" s="655"/>
      <c r="G12" s="655">
        <v>310</v>
      </c>
      <c r="H12" s="655"/>
      <c r="I12" s="655">
        <v>380</v>
      </c>
      <c r="J12" s="655"/>
      <c r="K12" s="655">
        <v>380</v>
      </c>
      <c r="L12" s="655"/>
      <c r="M12" s="655">
        <v>380</v>
      </c>
      <c r="N12" s="655"/>
      <c r="O12" s="655">
        <v>310</v>
      </c>
      <c r="P12" s="716"/>
      <c r="Q12" s="716"/>
      <c r="R12" s="716"/>
      <c r="S12" s="716"/>
      <c r="T12" s="716"/>
      <c r="U12" s="716"/>
      <c r="V12" s="716"/>
      <c r="W12" s="716"/>
      <c r="X12" s="716"/>
      <c r="Y12" s="716"/>
      <c r="Z12" s="716"/>
      <c r="AA12" s="716"/>
      <c r="AB12" s="716"/>
      <c r="AC12" s="721"/>
      <c r="AD12" s="249"/>
    </row>
    <row r="13" spans="1:31" x14ac:dyDescent="0.35">
      <c r="A13" s="547">
        <v>2</v>
      </c>
      <c r="B13" s="548" t="s">
        <v>297</v>
      </c>
      <c r="C13" s="652">
        <f t="shared" si="0"/>
        <v>0</v>
      </c>
      <c r="D13" s="655"/>
      <c r="E13" s="655">
        <f>+E12*1.5</f>
        <v>465</v>
      </c>
      <c r="F13" s="655"/>
      <c r="G13" s="655">
        <f>+G12*1.5</f>
        <v>465</v>
      </c>
      <c r="H13" s="655"/>
      <c r="I13" s="655">
        <f>+I12*1.5</f>
        <v>570</v>
      </c>
      <c r="J13" s="655"/>
      <c r="K13" s="655">
        <f>+K12*1.5</f>
        <v>570</v>
      </c>
      <c r="L13" s="655"/>
      <c r="M13" s="655">
        <f>+M12*1.5</f>
        <v>570</v>
      </c>
      <c r="N13" s="655"/>
      <c r="O13" s="655">
        <f>+O12*1.5</f>
        <v>465</v>
      </c>
      <c r="P13" s="716"/>
      <c r="Q13" s="716"/>
      <c r="R13" s="716"/>
      <c r="S13" s="716"/>
      <c r="T13" s="716"/>
      <c r="U13" s="716"/>
      <c r="V13" s="716"/>
      <c r="W13" s="716"/>
      <c r="X13" s="716"/>
      <c r="Y13" s="716"/>
      <c r="Z13" s="716"/>
      <c r="AA13" s="716"/>
      <c r="AB13" s="716"/>
      <c r="AC13" s="721"/>
      <c r="AD13" s="249"/>
    </row>
    <row r="14" spans="1:31" x14ac:dyDescent="0.35">
      <c r="A14" s="547">
        <v>3</v>
      </c>
      <c r="B14" s="548" t="s">
        <v>298</v>
      </c>
      <c r="C14" s="652">
        <f t="shared" si="0"/>
        <v>0</v>
      </c>
      <c r="D14" s="655"/>
      <c r="E14" s="655">
        <f>+E12*1.5</f>
        <v>465</v>
      </c>
      <c r="F14" s="655"/>
      <c r="G14" s="655">
        <f>+G12*1.5</f>
        <v>465</v>
      </c>
      <c r="H14" s="655"/>
      <c r="I14" s="655">
        <f>+I12*1.5</f>
        <v>570</v>
      </c>
      <c r="J14" s="655"/>
      <c r="K14" s="655">
        <f>+K12*1.5</f>
        <v>570</v>
      </c>
      <c r="L14" s="655"/>
      <c r="M14" s="655">
        <f>+M12*1.5</f>
        <v>570</v>
      </c>
      <c r="N14" s="655"/>
      <c r="O14" s="655">
        <f>+O12*1.5</f>
        <v>465</v>
      </c>
      <c r="P14" s="716"/>
      <c r="Q14" s="716"/>
      <c r="R14" s="716"/>
      <c r="S14" s="716"/>
      <c r="T14" s="716"/>
      <c r="U14" s="716"/>
      <c r="V14" s="716"/>
      <c r="W14" s="716"/>
      <c r="X14" s="716"/>
      <c r="Y14" s="716"/>
      <c r="Z14" s="716"/>
      <c r="AA14" s="716"/>
      <c r="AB14" s="716"/>
      <c r="AC14" s="721"/>
      <c r="AD14" s="249"/>
    </row>
    <row r="15" spans="1:31" x14ac:dyDescent="0.35">
      <c r="A15" s="547">
        <v>4</v>
      </c>
      <c r="B15" s="548" t="s">
        <v>299</v>
      </c>
      <c r="C15" s="652">
        <f t="shared" si="0"/>
        <v>0</v>
      </c>
      <c r="D15" s="655"/>
      <c r="E15" s="655">
        <f>+E12*1.5</f>
        <v>465</v>
      </c>
      <c r="F15" s="655"/>
      <c r="G15" s="655">
        <f>+G12*1.5</f>
        <v>465</v>
      </c>
      <c r="H15" s="655"/>
      <c r="I15" s="655">
        <f>+I12*1.5</f>
        <v>570</v>
      </c>
      <c r="J15" s="655"/>
      <c r="K15" s="655">
        <f>+K12*1.5</f>
        <v>570</v>
      </c>
      <c r="L15" s="655"/>
      <c r="M15" s="655">
        <f>+M12*1.5</f>
        <v>570</v>
      </c>
      <c r="N15" s="655"/>
      <c r="O15" s="655">
        <f>+O12*1.5</f>
        <v>465</v>
      </c>
      <c r="P15" s="716"/>
      <c r="Q15" s="716"/>
      <c r="R15" s="716"/>
      <c r="S15" s="716"/>
      <c r="T15" s="716"/>
      <c r="U15" s="716"/>
      <c r="V15" s="716"/>
      <c r="W15" s="716"/>
      <c r="X15" s="716"/>
      <c r="Y15" s="716"/>
      <c r="Z15" s="716"/>
      <c r="AA15" s="716"/>
      <c r="AB15" s="716"/>
      <c r="AC15" s="721"/>
      <c r="AD15" s="249"/>
    </row>
    <row r="16" spans="1:31" ht="21.75" customHeight="1" x14ac:dyDescent="0.35">
      <c r="A16" s="547">
        <v>5</v>
      </c>
      <c r="B16" s="548" t="s">
        <v>300</v>
      </c>
      <c r="C16" s="652">
        <f t="shared" si="0"/>
        <v>0</v>
      </c>
      <c r="D16" s="655"/>
      <c r="E16" s="655">
        <f>+E12*2.5</f>
        <v>775</v>
      </c>
      <c r="F16" s="655"/>
      <c r="G16" s="655">
        <f>+G12*2.5</f>
        <v>775</v>
      </c>
      <c r="H16" s="655"/>
      <c r="I16" s="655">
        <f>+I12*2.5</f>
        <v>950</v>
      </c>
      <c r="J16" s="655"/>
      <c r="K16" s="655">
        <f>+K12*2.5</f>
        <v>950</v>
      </c>
      <c r="L16" s="655"/>
      <c r="M16" s="655">
        <f>+M12*2.5</f>
        <v>950</v>
      </c>
      <c r="N16" s="655"/>
      <c r="O16" s="655">
        <f>+O12*2.5</f>
        <v>775</v>
      </c>
      <c r="P16" s="716"/>
      <c r="Q16" s="716"/>
      <c r="R16" s="716"/>
      <c r="S16" s="716"/>
      <c r="T16" s="716"/>
      <c r="U16" s="716"/>
      <c r="V16" s="716"/>
      <c r="W16" s="716"/>
      <c r="X16" s="716"/>
      <c r="Y16" s="716"/>
      <c r="Z16" s="716"/>
      <c r="AA16" s="716"/>
      <c r="AB16" s="716"/>
      <c r="AC16" s="721"/>
      <c r="AD16" s="249"/>
    </row>
    <row r="17" spans="1:31" x14ac:dyDescent="0.35">
      <c r="A17" s="547">
        <v>6</v>
      </c>
      <c r="B17" s="554" t="s">
        <v>286</v>
      </c>
      <c r="C17" s="652">
        <f t="shared" si="0"/>
        <v>0</v>
      </c>
      <c r="D17" s="654"/>
      <c r="E17" s="654"/>
      <c r="F17" s="654"/>
      <c r="G17" s="654"/>
      <c r="H17" s="654"/>
      <c r="I17" s="654"/>
      <c r="J17" s="654"/>
      <c r="K17" s="654"/>
      <c r="L17" s="654"/>
      <c r="M17" s="654"/>
      <c r="N17" s="654"/>
      <c r="O17" s="654"/>
      <c r="P17" s="715"/>
      <c r="Q17" s="715"/>
      <c r="R17" s="715"/>
      <c r="S17" s="715"/>
      <c r="T17" s="715"/>
      <c r="U17" s="715"/>
      <c r="V17" s="715"/>
      <c r="W17" s="715"/>
      <c r="X17" s="715"/>
      <c r="Y17" s="715"/>
      <c r="Z17" s="715"/>
      <c r="AA17" s="715"/>
      <c r="AB17" s="715"/>
      <c r="AC17" s="722"/>
      <c r="AD17" s="544"/>
    </row>
    <row r="18" spans="1:31" x14ac:dyDescent="0.35">
      <c r="A18" s="547"/>
      <c r="B18" s="354" t="s">
        <v>602</v>
      </c>
      <c r="C18" s="655"/>
      <c r="D18" s="654"/>
      <c r="E18" s="654"/>
      <c r="F18" s="654"/>
      <c r="G18" s="654"/>
      <c r="H18" s="654"/>
      <c r="I18" s="654"/>
      <c r="J18" s="654"/>
      <c r="K18" s="654"/>
      <c r="L18" s="654"/>
      <c r="M18" s="654"/>
      <c r="N18" s="654"/>
      <c r="O18" s="654"/>
      <c r="P18" s="715"/>
      <c r="Q18" s="715"/>
      <c r="R18" s="715"/>
      <c r="S18" s="715"/>
      <c r="T18" s="715"/>
      <c r="U18" s="715"/>
      <c r="V18" s="715"/>
      <c r="W18" s="715"/>
      <c r="X18" s="715"/>
      <c r="Y18" s="715"/>
      <c r="Z18" s="715"/>
      <c r="AA18" s="715"/>
      <c r="AB18" s="715"/>
      <c r="AC18" s="722"/>
      <c r="AD18" s="544"/>
    </row>
    <row r="19" spans="1:31" x14ac:dyDescent="0.35">
      <c r="A19" s="547"/>
      <c r="B19" s="354" t="s">
        <v>602</v>
      </c>
      <c r="C19" s="655"/>
      <c r="D19" s="654"/>
      <c r="E19" s="654"/>
      <c r="F19" s="654"/>
      <c r="G19" s="654"/>
      <c r="H19" s="654"/>
      <c r="I19" s="654"/>
      <c r="J19" s="654"/>
      <c r="K19" s="654"/>
      <c r="L19" s="654"/>
      <c r="M19" s="654"/>
      <c r="N19" s="654"/>
      <c r="O19" s="654"/>
      <c r="P19" s="715"/>
      <c r="Q19" s="715"/>
      <c r="R19" s="715"/>
      <c r="S19" s="715"/>
      <c r="T19" s="715"/>
      <c r="U19" s="715"/>
      <c r="V19" s="715"/>
      <c r="W19" s="715"/>
      <c r="X19" s="715"/>
      <c r="Y19" s="715"/>
      <c r="Z19" s="715"/>
      <c r="AA19" s="715"/>
      <c r="AB19" s="715"/>
      <c r="AC19" s="722"/>
      <c r="AD19" s="544"/>
    </row>
    <row r="20" spans="1:31" x14ac:dyDescent="0.35">
      <c r="A20" s="547"/>
      <c r="B20" s="354" t="s">
        <v>602</v>
      </c>
      <c r="C20" s="655"/>
      <c r="D20" s="654"/>
      <c r="E20" s="654"/>
      <c r="F20" s="654"/>
      <c r="G20" s="654"/>
      <c r="H20" s="654"/>
      <c r="I20" s="654"/>
      <c r="J20" s="654"/>
      <c r="K20" s="654"/>
      <c r="L20" s="654"/>
      <c r="M20" s="654"/>
      <c r="N20" s="654"/>
      <c r="O20" s="654"/>
      <c r="P20" s="715"/>
      <c r="Q20" s="715"/>
      <c r="R20" s="715"/>
      <c r="S20" s="715"/>
      <c r="T20" s="715"/>
      <c r="U20" s="715"/>
      <c r="V20" s="715"/>
      <c r="W20" s="715"/>
      <c r="X20" s="715"/>
      <c r="Y20" s="715"/>
      <c r="Z20" s="715"/>
      <c r="AA20" s="715"/>
      <c r="AB20" s="715"/>
      <c r="AC20" s="722"/>
      <c r="AD20" s="544"/>
    </row>
    <row r="21" spans="1:31" s="244" customFormat="1" ht="21.75" customHeight="1" x14ac:dyDescent="0.35">
      <c r="A21" s="547" t="s">
        <v>41</v>
      </c>
      <c r="B21" s="554" t="s">
        <v>311</v>
      </c>
      <c r="C21" s="654"/>
      <c r="D21" s="654"/>
      <c r="E21" s="654"/>
      <c r="F21" s="654"/>
      <c r="G21" s="654"/>
      <c r="H21" s="654"/>
      <c r="I21" s="654"/>
      <c r="J21" s="654"/>
      <c r="K21" s="654"/>
      <c r="L21" s="654"/>
      <c r="M21" s="654"/>
      <c r="N21" s="654"/>
      <c r="O21" s="654"/>
      <c r="P21" s="715"/>
      <c r="Q21" s="715"/>
      <c r="R21" s="715"/>
      <c r="S21" s="715"/>
      <c r="T21" s="715"/>
      <c r="U21" s="715"/>
      <c r="V21" s="715"/>
      <c r="W21" s="715"/>
      <c r="X21" s="715"/>
      <c r="Y21" s="715"/>
      <c r="Z21" s="715"/>
      <c r="AA21" s="715"/>
      <c r="AB21" s="715"/>
      <c r="AC21" s="722"/>
      <c r="AD21" s="243"/>
      <c r="AE21" s="226"/>
    </row>
    <row r="22" spans="1:31" s="244" customFormat="1" ht="30" customHeight="1" x14ac:dyDescent="0.35">
      <c r="A22" s="357">
        <v>1</v>
      </c>
      <c r="B22" s="354" t="s">
        <v>312</v>
      </c>
      <c r="C22" s="655"/>
      <c r="D22" s="655"/>
      <c r="E22" s="655"/>
      <c r="F22" s="655"/>
      <c r="G22" s="655"/>
      <c r="H22" s="655"/>
      <c r="I22" s="655"/>
      <c r="J22" s="655"/>
      <c r="K22" s="655"/>
      <c r="L22" s="655"/>
      <c r="M22" s="655"/>
      <c r="N22" s="655"/>
      <c r="O22" s="655"/>
      <c r="P22" s="716"/>
      <c r="Q22" s="716"/>
      <c r="R22" s="716"/>
      <c r="S22" s="716"/>
      <c r="T22" s="716"/>
      <c r="U22" s="716"/>
      <c r="V22" s="716"/>
      <c r="W22" s="716"/>
      <c r="X22" s="716"/>
      <c r="Y22" s="716"/>
      <c r="Z22" s="716"/>
      <c r="AA22" s="716"/>
      <c r="AB22" s="716"/>
      <c r="AC22" s="720"/>
      <c r="AD22" s="243"/>
      <c r="AE22" s="226"/>
    </row>
    <row r="23" spans="1:31" s="244" customFormat="1" ht="30" customHeight="1" x14ac:dyDescent="0.35">
      <c r="A23" s="357">
        <v>2</v>
      </c>
      <c r="B23" s="354" t="s">
        <v>602</v>
      </c>
      <c r="C23" s="655"/>
      <c r="D23" s="655"/>
      <c r="E23" s="655"/>
      <c r="F23" s="655"/>
      <c r="G23" s="655"/>
      <c r="H23" s="655"/>
      <c r="I23" s="655"/>
      <c r="J23" s="655"/>
      <c r="K23" s="655"/>
      <c r="L23" s="655"/>
      <c r="M23" s="655"/>
      <c r="N23" s="655"/>
      <c r="O23" s="655"/>
      <c r="P23" s="716"/>
      <c r="Q23" s="716"/>
      <c r="R23" s="716"/>
      <c r="S23" s="716"/>
      <c r="T23" s="716"/>
      <c r="U23" s="716"/>
      <c r="V23" s="716"/>
      <c r="W23" s="716"/>
      <c r="X23" s="716"/>
      <c r="Y23" s="716"/>
      <c r="Z23" s="716"/>
      <c r="AA23" s="716"/>
      <c r="AB23" s="716"/>
      <c r="AC23" s="723"/>
      <c r="AD23" s="501"/>
      <c r="AE23" s="226"/>
    </row>
    <row r="24" spans="1:31" s="244" customFormat="1" ht="30" customHeight="1" x14ac:dyDescent="0.35">
      <c r="A24" s="357">
        <v>3</v>
      </c>
      <c r="B24" s="354" t="s">
        <v>602</v>
      </c>
      <c r="C24" s="657"/>
      <c r="D24" s="655"/>
      <c r="E24" s="655"/>
      <c r="F24" s="655"/>
      <c r="G24" s="655"/>
      <c r="H24" s="655"/>
      <c r="I24" s="655"/>
      <c r="J24" s="655"/>
      <c r="K24" s="655"/>
      <c r="L24" s="655"/>
      <c r="M24" s="655"/>
      <c r="N24" s="655"/>
      <c r="O24" s="655"/>
      <c r="P24" s="716"/>
      <c r="Q24" s="716"/>
      <c r="R24" s="716"/>
      <c r="S24" s="716"/>
      <c r="T24" s="716"/>
      <c r="U24" s="716"/>
      <c r="V24" s="716"/>
      <c r="W24" s="716"/>
      <c r="X24" s="716"/>
      <c r="Y24" s="716"/>
      <c r="Z24" s="716"/>
      <c r="AA24" s="716"/>
      <c r="AB24" s="716"/>
      <c r="AC24" s="723"/>
      <c r="AD24" s="501"/>
      <c r="AE24" s="226"/>
    </row>
    <row r="25" spans="1:31" s="244" customFormat="1" ht="30" customHeight="1" x14ac:dyDescent="0.35">
      <c r="A25" s="357">
        <v>4</v>
      </c>
      <c r="B25" s="354" t="s">
        <v>678</v>
      </c>
      <c r="C25" s="655"/>
      <c r="D25" s="655"/>
      <c r="E25" s="655"/>
      <c r="F25" s="655"/>
      <c r="G25" s="655"/>
      <c r="H25" s="655"/>
      <c r="I25" s="655"/>
      <c r="J25" s="655"/>
      <c r="K25" s="655"/>
      <c r="L25" s="655"/>
      <c r="M25" s="655"/>
      <c r="N25" s="655"/>
      <c r="O25" s="655"/>
      <c r="P25" s="716"/>
      <c r="Q25" s="716"/>
      <c r="R25" s="716"/>
      <c r="S25" s="716"/>
      <c r="T25" s="716"/>
      <c r="U25" s="716"/>
      <c r="V25" s="716"/>
      <c r="W25" s="716"/>
      <c r="X25" s="716"/>
      <c r="Y25" s="716"/>
      <c r="Z25" s="716"/>
      <c r="AA25" s="716"/>
      <c r="AB25" s="716"/>
      <c r="AC25" s="723"/>
      <c r="AD25" s="501"/>
      <c r="AE25" s="226"/>
    </row>
    <row r="26" spans="1:31" ht="28.5" customHeight="1" thickBot="1" x14ac:dyDescent="0.4">
      <c r="A26" s="656"/>
      <c r="B26" s="354"/>
      <c r="C26" s="655"/>
      <c r="D26" s="654"/>
      <c r="E26" s="654"/>
      <c r="F26" s="654"/>
      <c r="G26" s="654"/>
      <c r="H26" s="654"/>
      <c r="I26" s="654"/>
      <c r="J26" s="654"/>
      <c r="K26" s="654"/>
      <c r="L26" s="654"/>
      <c r="M26" s="654"/>
      <c r="N26" s="654"/>
      <c r="O26" s="654"/>
      <c r="P26" s="715"/>
      <c r="Q26" s="715"/>
      <c r="R26" s="715"/>
      <c r="S26" s="715"/>
      <c r="T26" s="715"/>
      <c r="U26" s="715"/>
      <c r="V26" s="715"/>
      <c r="W26" s="715"/>
      <c r="X26" s="715"/>
      <c r="Y26" s="715"/>
      <c r="Z26" s="715"/>
      <c r="AA26" s="715"/>
      <c r="AB26" s="715"/>
      <c r="AC26" s="724"/>
      <c r="AD26" s="258"/>
    </row>
    <row r="27" spans="1:31" s="259" customFormat="1" ht="16.5" customHeight="1" thickTop="1" x14ac:dyDescent="0.35">
      <c r="AC27" s="725" t="s">
        <v>689</v>
      </c>
      <c r="AD27" s="543"/>
      <c r="AE27" s="447"/>
    </row>
    <row r="28" spans="1:31" x14ac:dyDescent="0.35">
      <c r="B28" s="955"/>
      <c r="C28" s="955"/>
      <c r="D28" s="955"/>
      <c r="E28" s="955"/>
      <c r="F28" s="955"/>
      <c r="G28" s="955"/>
      <c r="H28" s="955"/>
      <c r="I28" s="955"/>
      <c r="J28" s="955"/>
      <c r="K28" s="955"/>
      <c r="L28" s="955"/>
      <c r="M28" s="955"/>
      <c r="N28" s="955"/>
      <c r="O28" s="955"/>
      <c r="P28" s="955"/>
      <c r="Q28" s="955"/>
      <c r="R28" s="955"/>
      <c r="S28" s="955"/>
      <c r="T28" s="955"/>
      <c r="U28" s="955"/>
      <c r="V28" s="955"/>
      <c r="W28" s="955"/>
      <c r="X28" s="955"/>
      <c r="Y28" s="955"/>
      <c r="Z28" s="955"/>
      <c r="AA28" s="955"/>
      <c r="AB28" s="955"/>
      <c r="AC28" s="955"/>
      <c r="AD28" s="540"/>
    </row>
    <row r="29" spans="1:31" ht="77.25" customHeight="1" x14ac:dyDescent="0.35">
      <c r="A29" s="945" t="s">
        <v>315</v>
      </c>
      <c r="B29" s="955"/>
      <c r="C29" s="955"/>
      <c r="D29" s="955"/>
      <c r="E29" s="955"/>
      <c r="F29" s="955"/>
      <c r="G29" s="955"/>
      <c r="H29" s="955"/>
      <c r="I29" s="955"/>
      <c r="J29" s="955"/>
      <c r="K29" s="955"/>
      <c r="L29" s="955"/>
      <c r="M29" s="955"/>
      <c r="N29" s="955"/>
      <c r="O29" s="955"/>
      <c r="P29" s="955"/>
      <c r="Q29" s="955"/>
      <c r="R29" s="955"/>
      <c r="S29" s="955"/>
      <c r="T29" s="955"/>
      <c r="U29" s="955"/>
      <c r="V29" s="955"/>
      <c r="W29" s="955"/>
      <c r="X29" s="955"/>
      <c r="Y29" s="955"/>
      <c r="Z29" s="955"/>
      <c r="AA29" s="955"/>
      <c r="AB29" s="955"/>
      <c r="AC29" s="955"/>
    </row>
    <row r="30" spans="1:31" x14ac:dyDescent="0.35">
      <c r="A30" s="244" t="s">
        <v>180</v>
      </c>
    </row>
    <row r="31" spans="1:31" ht="79.5" customHeight="1" x14ac:dyDescent="0.35">
      <c r="A31" s="235" t="s">
        <v>316</v>
      </c>
    </row>
    <row r="32" spans="1:31" ht="39.75" customHeight="1" x14ac:dyDescent="0.35">
      <c r="A32" s="235" t="s">
        <v>317</v>
      </c>
    </row>
    <row r="33" spans="1:1" ht="39.75" customHeight="1" x14ac:dyDescent="0.35">
      <c r="A33" s="235" t="s">
        <v>318</v>
      </c>
    </row>
  </sheetData>
  <mergeCells count="26">
    <mergeCell ref="AD5:AD7"/>
    <mergeCell ref="C3:O3"/>
    <mergeCell ref="P3:AB3"/>
    <mergeCell ref="C6:C7"/>
    <mergeCell ref="C5:O5"/>
    <mergeCell ref="P5:AB5"/>
    <mergeCell ref="P6:P7"/>
    <mergeCell ref="Q6:R6"/>
    <mergeCell ref="S6:T6"/>
    <mergeCell ref="U6:V6"/>
    <mergeCell ref="W6:X6"/>
    <mergeCell ref="Y6:Z6"/>
    <mergeCell ref="AA6:AB6"/>
    <mergeCell ref="A29:AC29"/>
    <mergeCell ref="D6:E6"/>
    <mergeCell ref="F6:G6"/>
    <mergeCell ref="H6:I6"/>
    <mergeCell ref="J6:K6"/>
    <mergeCell ref="L6:M6"/>
    <mergeCell ref="N6:O6"/>
    <mergeCell ref="AC5:AC7"/>
    <mergeCell ref="A1:B1"/>
    <mergeCell ref="A2:B2"/>
    <mergeCell ref="A5:A7"/>
    <mergeCell ref="B5:B7"/>
    <mergeCell ref="B28:AC28"/>
  </mergeCells>
  <pageMargins left="0.17" right="0.17" top="0.75" bottom="0.32" header="0.3" footer="0.3"/>
  <pageSetup paperSize="9" scale="60"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709CB-2789-405C-9EEA-BF50ADA25D0F}">
  <sheetPr>
    <tabColor rgb="FF00B050"/>
  </sheetPr>
  <dimension ref="A1:M37"/>
  <sheetViews>
    <sheetView zoomScale="85" zoomScaleNormal="85" workbookViewId="0">
      <selection activeCell="J21" sqref="J21"/>
    </sheetView>
  </sheetViews>
  <sheetFormatPr defaultColWidth="9" defaultRowHeight="15.5" x14ac:dyDescent="0.35"/>
  <cols>
    <col min="1" max="1" width="5.08984375" style="662" customWidth="1"/>
    <col min="2" max="2" width="52.36328125" style="662" customWidth="1"/>
    <col min="3" max="3" width="22.90625" style="662" customWidth="1"/>
    <col min="4" max="4" width="8.36328125" style="662" bestFit="1" customWidth="1"/>
    <col min="5" max="5" width="10.08984375" style="662" customWidth="1"/>
    <col min="6" max="6" width="13" style="682" customWidth="1"/>
    <col min="7" max="7" width="17.6328125" style="662" customWidth="1"/>
    <col min="8" max="9" width="27.36328125" style="662" customWidth="1"/>
    <col min="10" max="10" width="15.453125" style="662" customWidth="1"/>
    <col min="11" max="11" width="17" style="662" customWidth="1"/>
    <col min="12" max="12" width="24.26953125" style="662" customWidth="1"/>
    <col min="13" max="13" width="48" style="664" customWidth="1"/>
    <col min="14" max="16384" width="9" style="662"/>
  </cols>
  <sheetData>
    <row r="1" spans="1:13" x14ac:dyDescent="0.35">
      <c r="A1" s="987" t="s">
        <v>0</v>
      </c>
      <c r="B1" s="987"/>
      <c r="C1" s="660"/>
      <c r="D1" s="660"/>
      <c r="E1" s="660"/>
      <c r="F1" s="680"/>
      <c r="G1" s="661"/>
      <c r="H1" s="661"/>
      <c r="I1" s="661"/>
      <c r="L1" s="663" t="s">
        <v>614</v>
      </c>
    </row>
    <row r="2" spans="1:13" x14ac:dyDescent="0.35">
      <c r="A2" s="988" t="s">
        <v>278</v>
      </c>
      <c r="B2" s="988"/>
      <c r="C2" s="661"/>
      <c r="D2" s="661"/>
      <c r="E2" s="661"/>
      <c r="F2" s="681"/>
      <c r="G2" s="661"/>
      <c r="H2" s="661"/>
      <c r="I2" s="661"/>
      <c r="J2" s="665"/>
      <c r="K2" s="665"/>
    </row>
    <row r="3" spans="1:13" ht="35.25" customHeight="1" x14ac:dyDescent="0.35">
      <c r="A3" s="989" t="s">
        <v>710</v>
      </c>
      <c r="B3" s="989"/>
      <c r="C3" s="989"/>
      <c r="D3" s="989"/>
      <c r="E3" s="989"/>
      <c r="F3" s="989"/>
      <c r="G3" s="989"/>
      <c r="H3" s="989"/>
      <c r="I3" s="989"/>
      <c r="J3" s="989"/>
      <c r="K3" s="989"/>
      <c r="L3" s="989"/>
    </row>
    <row r="4" spans="1:13" x14ac:dyDescent="0.35">
      <c r="L4" s="666"/>
    </row>
    <row r="5" spans="1:13" s="661" customFormat="1" ht="45" customHeight="1" x14ac:dyDescent="0.35">
      <c r="A5" s="990" t="s">
        <v>281</v>
      </c>
      <c r="B5" s="990" t="s">
        <v>6</v>
      </c>
      <c r="C5" s="995" t="s">
        <v>681</v>
      </c>
      <c r="D5" s="995"/>
      <c r="E5" s="995"/>
      <c r="F5" s="995"/>
      <c r="G5" s="997" t="s">
        <v>683</v>
      </c>
      <c r="H5" s="998"/>
      <c r="I5" s="998"/>
      <c r="J5" s="999"/>
      <c r="K5" s="996" t="s">
        <v>686</v>
      </c>
      <c r="L5" s="672"/>
      <c r="M5" s="667"/>
    </row>
    <row r="6" spans="1:13" s="661" customFormat="1" ht="140.25" customHeight="1" x14ac:dyDescent="0.35">
      <c r="A6" s="990"/>
      <c r="B6" s="990"/>
      <c r="C6" s="687" t="s">
        <v>680</v>
      </c>
      <c r="D6" s="687" t="s">
        <v>69</v>
      </c>
      <c r="E6" s="687" t="s">
        <v>682</v>
      </c>
      <c r="F6" s="688" t="s">
        <v>248</v>
      </c>
      <c r="G6" s="552" t="s">
        <v>249</v>
      </c>
      <c r="H6" s="553" t="s">
        <v>69</v>
      </c>
      <c r="I6" s="553" t="s">
        <v>682</v>
      </c>
      <c r="J6" s="556" t="s">
        <v>248</v>
      </c>
      <c r="K6" s="996"/>
      <c r="L6" s="672" t="s">
        <v>16</v>
      </c>
      <c r="M6" s="667"/>
    </row>
    <row r="7" spans="1:13" s="667" customFormat="1" ht="28.5" customHeight="1" x14ac:dyDescent="0.35">
      <c r="A7" s="668" t="s">
        <v>88</v>
      </c>
      <c r="B7" s="668" t="s">
        <v>89</v>
      </c>
      <c r="C7" s="689" t="s">
        <v>684</v>
      </c>
      <c r="D7" s="689" t="s">
        <v>91</v>
      </c>
      <c r="E7" s="689" t="s">
        <v>92</v>
      </c>
      <c r="F7" s="690" t="s">
        <v>152</v>
      </c>
      <c r="G7" s="699" t="s">
        <v>685</v>
      </c>
      <c r="H7" s="699" t="s">
        <v>153</v>
      </c>
      <c r="I7" s="699" t="s">
        <v>206</v>
      </c>
      <c r="J7" s="699" t="s">
        <v>94</v>
      </c>
      <c r="K7" s="708" t="s">
        <v>687</v>
      </c>
      <c r="L7" s="668" t="s">
        <v>96</v>
      </c>
    </row>
    <row r="8" spans="1:13" s="671" customFormat="1" ht="22.5" customHeight="1" x14ac:dyDescent="0.35">
      <c r="A8" s="669"/>
      <c r="B8" s="669" t="s">
        <v>293</v>
      </c>
      <c r="C8" s="691"/>
      <c r="D8" s="691"/>
      <c r="E8" s="691"/>
      <c r="F8" s="692"/>
      <c r="G8" s="700"/>
      <c r="H8" s="700"/>
      <c r="I8" s="700"/>
      <c r="J8" s="706"/>
      <c r="K8" s="709"/>
      <c r="L8" s="669"/>
      <c r="M8" s="670"/>
    </row>
    <row r="9" spans="1:13" ht="21.75" customHeight="1" x14ac:dyDescent="0.35">
      <c r="A9" s="672">
        <v>1</v>
      </c>
      <c r="B9" s="673" t="s">
        <v>573</v>
      </c>
      <c r="C9" s="693">
        <f>SUM(C10:C12)</f>
        <v>0</v>
      </c>
      <c r="D9" s="693"/>
      <c r="E9" s="693"/>
      <c r="F9" s="694"/>
      <c r="G9" s="701"/>
      <c r="H9" s="701"/>
      <c r="I9" s="701"/>
      <c r="J9" s="707"/>
      <c r="K9" s="710">
        <f>+G9+C9</f>
        <v>0</v>
      </c>
      <c r="L9" s="676"/>
    </row>
    <row r="10" spans="1:13" ht="21.75" customHeight="1" x14ac:dyDescent="0.35">
      <c r="A10" s="674" t="s">
        <v>21</v>
      </c>
      <c r="B10" s="675" t="s">
        <v>601</v>
      </c>
      <c r="C10" s="695">
        <f>+E10*F10*D10</f>
        <v>0</v>
      </c>
      <c r="D10" s="695"/>
      <c r="E10" s="695">
        <v>6</v>
      </c>
      <c r="F10" s="696">
        <f>50*23000</f>
        <v>1150000</v>
      </c>
      <c r="G10" s="701"/>
      <c r="H10" s="701"/>
      <c r="I10" s="702">
        <v>4</v>
      </c>
      <c r="J10" s="702">
        <f>50*23000</f>
        <v>1150000</v>
      </c>
      <c r="K10" s="709"/>
      <c r="L10" s="686"/>
      <c r="M10" s="685" t="s">
        <v>600</v>
      </c>
    </row>
    <row r="11" spans="1:13" ht="21.75" customHeight="1" x14ac:dyDescent="0.35">
      <c r="A11" s="674" t="s">
        <v>30</v>
      </c>
      <c r="B11" s="675" t="s">
        <v>577</v>
      </c>
      <c r="C11" s="695">
        <f t="shared" ref="C11:C20" si="0">+E11*F11*D11</f>
        <v>0</v>
      </c>
      <c r="D11" s="695"/>
      <c r="E11" s="695">
        <v>6</v>
      </c>
      <c r="F11" s="696">
        <f>80*23000</f>
        <v>1840000</v>
      </c>
      <c r="G11" s="701"/>
      <c r="H11" s="701"/>
      <c r="I11" s="702">
        <v>4</v>
      </c>
      <c r="J11" s="702">
        <f>80*23000</f>
        <v>1840000</v>
      </c>
      <c r="K11" s="709"/>
      <c r="L11" s="686"/>
      <c r="M11" s="685" t="s">
        <v>600</v>
      </c>
    </row>
    <row r="12" spans="1:13" ht="21.75" customHeight="1" x14ac:dyDescent="0.35">
      <c r="A12" s="674" t="s">
        <v>32</v>
      </c>
      <c r="B12" s="675" t="s">
        <v>576</v>
      </c>
      <c r="C12" s="695">
        <f t="shared" si="0"/>
        <v>0</v>
      </c>
      <c r="D12" s="695"/>
      <c r="E12" s="695">
        <v>6</v>
      </c>
      <c r="F12" s="696">
        <f>100*23000</f>
        <v>2300000</v>
      </c>
      <c r="G12" s="701"/>
      <c r="H12" s="701"/>
      <c r="I12" s="702">
        <v>4</v>
      </c>
      <c r="J12" s="702">
        <f>100*23000</f>
        <v>2300000</v>
      </c>
      <c r="K12" s="709"/>
      <c r="L12" s="686"/>
      <c r="M12" s="685" t="s">
        <v>600</v>
      </c>
    </row>
    <row r="13" spans="1:13" s="671" customFormat="1" x14ac:dyDescent="0.35">
      <c r="A13" s="672">
        <v>2</v>
      </c>
      <c r="B13" s="673" t="s">
        <v>580</v>
      </c>
      <c r="C13" s="693">
        <f>SUM(C14:C15)</f>
        <v>0</v>
      </c>
      <c r="D13" s="693"/>
      <c r="E13" s="693"/>
      <c r="F13" s="694"/>
      <c r="G13" s="700"/>
      <c r="H13" s="700"/>
      <c r="I13" s="703"/>
      <c r="J13" s="703"/>
      <c r="K13" s="711"/>
      <c r="L13" s="991" t="s">
        <v>303</v>
      </c>
      <c r="M13" s="664" t="s">
        <v>587</v>
      </c>
    </row>
    <row r="14" spans="1:13" s="671" customFormat="1" x14ac:dyDescent="0.35">
      <c r="A14" s="674" t="s">
        <v>408</v>
      </c>
      <c r="B14" s="675" t="s">
        <v>579</v>
      </c>
      <c r="C14" s="695">
        <f t="shared" si="0"/>
        <v>0</v>
      </c>
      <c r="D14" s="695"/>
      <c r="E14" s="695">
        <v>5</v>
      </c>
      <c r="F14" s="696">
        <v>400000</v>
      </c>
      <c r="G14" s="700"/>
      <c r="H14" s="700"/>
      <c r="I14" s="702">
        <v>4</v>
      </c>
      <c r="J14" s="702">
        <v>400000</v>
      </c>
      <c r="K14" s="709"/>
      <c r="L14" s="991"/>
      <c r="M14" s="664" t="s">
        <v>587</v>
      </c>
    </row>
    <row r="15" spans="1:13" s="671" customFormat="1" x14ac:dyDescent="0.35">
      <c r="A15" s="674" t="s">
        <v>411</v>
      </c>
      <c r="B15" s="675" t="s">
        <v>582</v>
      </c>
      <c r="C15" s="695">
        <f t="shared" si="0"/>
        <v>0</v>
      </c>
      <c r="D15" s="695"/>
      <c r="E15" s="695">
        <v>5</v>
      </c>
      <c r="F15" s="696">
        <v>3000000</v>
      </c>
      <c r="G15" s="700"/>
      <c r="H15" s="700"/>
      <c r="I15" s="702">
        <v>4</v>
      </c>
      <c r="J15" s="702">
        <v>3000000</v>
      </c>
      <c r="K15" s="712"/>
      <c r="L15" s="991"/>
      <c r="M15" s="664" t="s">
        <v>587</v>
      </c>
    </row>
    <row r="16" spans="1:13" s="671" customFormat="1" x14ac:dyDescent="0.35">
      <c r="A16" s="672">
        <v>3</v>
      </c>
      <c r="B16" s="669" t="s">
        <v>305</v>
      </c>
      <c r="C16" s="691">
        <f>SUM(C17:C20)</f>
        <v>0</v>
      </c>
      <c r="D16" s="691"/>
      <c r="E16" s="691"/>
      <c r="F16" s="692"/>
      <c r="G16" s="700"/>
      <c r="H16" s="700"/>
      <c r="I16" s="704"/>
      <c r="J16" s="704"/>
      <c r="K16" s="713"/>
      <c r="L16" s="991"/>
      <c r="M16" s="664" t="s">
        <v>587</v>
      </c>
    </row>
    <row r="17" spans="1:13" x14ac:dyDescent="0.35">
      <c r="A17" s="674" t="s">
        <v>711</v>
      </c>
      <c r="B17" s="676" t="s">
        <v>306</v>
      </c>
      <c r="C17" s="695">
        <f t="shared" si="0"/>
        <v>0</v>
      </c>
      <c r="D17" s="697"/>
      <c r="E17" s="697">
        <v>5</v>
      </c>
      <c r="F17" s="698">
        <v>1300000</v>
      </c>
      <c r="G17" s="701"/>
      <c r="H17" s="701"/>
      <c r="I17" s="705">
        <v>4</v>
      </c>
      <c r="J17" s="705">
        <v>1300000</v>
      </c>
      <c r="K17" s="712"/>
      <c r="L17" s="991"/>
      <c r="M17" s="664" t="s">
        <v>587</v>
      </c>
    </row>
    <row r="18" spans="1:13" x14ac:dyDescent="0.35">
      <c r="A18" s="674" t="s">
        <v>712</v>
      </c>
      <c r="B18" s="676" t="s">
        <v>307</v>
      </c>
      <c r="C18" s="695">
        <f t="shared" si="0"/>
        <v>0</v>
      </c>
      <c r="D18" s="697"/>
      <c r="E18" s="697">
        <v>5</v>
      </c>
      <c r="F18" s="698">
        <v>1200000</v>
      </c>
      <c r="G18" s="701"/>
      <c r="H18" s="701"/>
      <c r="I18" s="705">
        <v>4</v>
      </c>
      <c r="J18" s="705">
        <v>1200000</v>
      </c>
      <c r="K18" s="712"/>
      <c r="L18" s="991"/>
      <c r="M18" s="664" t="s">
        <v>587</v>
      </c>
    </row>
    <row r="19" spans="1:13" x14ac:dyDescent="0.35">
      <c r="A19" s="674" t="s">
        <v>713</v>
      </c>
      <c r="B19" s="676" t="s">
        <v>308</v>
      </c>
      <c r="C19" s="695">
        <f t="shared" si="0"/>
        <v>0</v>
      </c>
      <c r="D19" s="697"/>
      <c r="E19" s="697">
        <v>5</v>
      </c>
      <c r="F19" s="698">
        <v>1300000</v>
      </c>
      <c r="G19" s="701"/>
      <c r="H19" s="701"/>
      <c r="I19" s="705">
        <v>4</v>
      </c>
      <c r="J19" s="705">
        <v>1300000</v>
      </c>
      <c r="K19" s="712"/>
      <c r="L19" s="991"/>
      <c r="M19" s="664" t="s">
        <v>587</v>
      </c>
    </row>
    <row r="20" spans="1:13" x14ac:dyDescent="0.35">
      <c r="A20" s="674" t="s">
        <v>714</v>
      </c>
      <c r="B20" s="676" t="s">
        <v>309</v>
      </c>
      <c r="C20" s="695">
        <f t="shared" si="0"/>
        <v>0</v>
      </c>
      <c r="D20" s="697"/>
      <c r="E20" s="697">
        <v>5</v>
      </c>
      <c r="F20" s="698">
        <v>1100000</v>
      </c>
      <c r="G20" s="701"/>
      <c r="H20" s="701"/>
      <c r="I20" s="705">
        <v>4</v>
      </c>
      <c r="J20" s="705">
        <v>1100000</v>
      </c>
      <c r="K20" s="712"/>
      <c r="L20" s="991"/>
      <c r="M20" s="664" t="s">
        <v>587</v>
      </c>
    </row>
    <row r="21" spans="1:13" x14ac:dyDescent="0.35">
      <c r="A21" s="672">
        <v>5</v>
      </c>
      <c r="B21" s="669" t="s">
        <v>286</v>
      </c>
      <c r="C21" s="691"/>
      <c r="D21" s="691"/>
      <c r="E21" s="691"/>
      <c r="F21" s="692"/>
      <c r="G21" s="700"/>
      <c r="H21" s="700"/>
      <c r="I21" s="700"/>
      <c r="J21" s="551"/>
      <c r="K21" s="711"/>
      <c r="L21" s="991"/>
    </row>
    <row r="22" spans="1:13" x14ac:dyDescent="0.35">
      <c r="A22" s="672"/>
      <c r="B22" s="676" t="s">
        <v>602</v>
      </c>
      <c r="C22" s="697"/>
      <c r="D22" s="697"/>
      <c r="E22" s="697"/>
      <c r="F22" s="698"/>
      <c r="G22" s="700"/>
      <c r="H22" s="700"/>
      <c r="I22" s="700"/>
      <c r="J22" s="551"/>
      <c r="K22" s="711"/>
      <c r="L22" s="686"/>
    </row>
    <row r="23" spans="1:13" x14ac:dyDescent="0.35">
      <c r="A23" s="672"/>
      <c r="B23" s="676" t="s">
        <v>602</v>
      </c>
      <c r="C23" s="697"/>
      <c r="D23" s="697"/>
      <c r="E23" s="697"/>
      <c r="F23" s="698"/>
      <c r="G23" s="700"/>
      <c r="H23" s="700"/>
      <c r="I23" s="700"/>
      <c r="J23" s="551"/>
      <c r="K23" s="711"/>
      <c r="L23" s="686"/>
    </row>
    <row r="24" spans="1:13" x14ac:dyDescent="0.35">
      <c r="A24" s="672"/>
      <c r="B24" s="676" t="s">
        <v>602</v>
      </c>
      <c r="C24" s="697"/>
      <c r="D24" s="697"/>
      <c r="E24" s="697"/>
      <c r="F24" s="698"/>
      <c r="G24" s="700"/>
      <c r="H24" s="700"/>
      <c r="I24" s="700"/>
      <c r="J24" s="551"/>
      <c r="K24" s="711"/>
      <c r="L24" s="686"/>
    </row>
    <row r="25" spans="1:13" s="671" customFormat="1" ht="21.75" customHeight="1" x14ac:dyDescent="0.35">
      <c r="A25" s="672">
        <v>6</v>
      </c>
      <c r="B25" s="669" t="s">
        <v>311</v>
      </c>
      <c r="C25" s="691"/>
      <c r="D25" s="691"/>
      <c r="E25" s="691"/>
      <c r="F25" s="692"/>
      <c r="G25" s="700"/>
      <c r="H25" s="700"/>
      <c r="I25" s="700"/>
      <c r="J25" s="551"/>
      <c r="K25" s="711"/>
      <c r="L25" s="669"/>
      <c r="M25" s="670"/>
    </row>
    <row r="26" spans="1:13" s="671" customFormat="1" ht="30" customHeight="1" x14ac:dyDescent="0.35">
      <c r="A26" s="674" t="s">
        <v>574</v>
      </c>
      <c r="B26" s="676" t="s">
        <v>312</v>
      </c>
      <c r="C26" s="697"/>
      <c r="D26" s="697"/>
      <c r="E26" s="697"/>
      <c r="F26" s="698"/>
      <c r="G26" s="701"/>
      <c r="H26" s="701"/>
      <c r="I26" s="701"/>
      <c r="J26" s="706"/>
      <c r="K26" s="709"/>
      <c r="L26" s="669"/>
      <c r="M26" s="670"/>
    </row>
    <row r="27" spans="1:13" s="671" customFormat="1" ht="30" customHeight="1" x14ac:dyDescent="0.35">
      <c r="A27" s="674" t="s">
        <v>575</v>
      </c>
      <c r="B27" s="676" t="s">
        <v>613</v>
      </c>
      <c r="C27" s="697"/>
      <c r="D27" s="697"/>
      <c r="E27" s="697"/>
      <c r="F27" s="698"/>
      <c r="G27" s="701"/>
      <c r="H27" s="701"/>
      <c r="I27" s="701"/>
      <c r="J27" s="706"/>
      <c r="K27" s="709"/>
      <c r="L27" s="669"/>
      <c r="M27" s="670"/>
    </row>
    <row r="28" spans="1:13" s="671" customFormat="1" ht="30" customHeight="1" x14ac:dyDescent="0.35">
      <c r="A28" s="674" t="s">
        <v>624</v>
      </c>
      <c r="B28" s="675" t="s">
        <v>719</v>
      </c>
      <c r="C28" s="695"/>
      <c r="D28" s="695"/>
      <c r="E28" s="695"/>
      <c r="F28" s="696"/>
      <c r="G28" s="701"/>
      <c r="H28" s="701"/>
      <c r="I28" s="701"/>
      <c r="J28" s="706"/>
      <c r="K28" s="709"/>
      <c r="L28" s="669"/>
      <c r="M28" s="670"/>
    </row>
    <row r="29" spans="1:13" s="671" customFormat="1" ht="30" customHeight="1" x14ac:dyDescent="0.35">
      <c r="A29" s="674" t="s">
        <v>715</v>
      </c>
      <c r="B29" s="676" t="s">
        <v>716</v>
      </c>
      <c r="C29" s="697"/>
      <c r="D29" s="697"/>
      <c r="E29" s="697"/>
      <c r="F29" s="698"/>
      <c r="G29" s="701"/>
      <c r="H29" s="701"/>
      <c r="I29" s="701"/>
      <c r="J29" s="706"/>
      <c r="K29" s="709"/>
      <c r="L29" s="669"/>
      <c r="M29" s="670"/>
    </row>
    <row r="30" spans="1:13" ht="21.75" customHeight="1" x14ac:dyDescent="0.35">
      <c r="A30" s="677" t="s">
        <v>717</v>
      </c>
      <c r="B30" s="676" t="s">
        <v>718</v>
      </c>
      <c r="C30" s="697"/>
      <c r="D30" s="697"/>
      <c r="E30" s="697"/>
      <c r="F30" s="698"/>
      <c r="G30" s="700"/>
      <c r="H30" s="700"/>
      <c r="I30" s="700"/>
      <c r="J30" s="706"/>
      <c r="K30" s="709"/>
      <c r="L30" s="676"/>
    </row>
    <row r="31" spans="1:13" s="678" customFormat="1" x14ac:dyDescent="0.35">
      <c r="F31" s="683"/>
      <c r="J31" s="992" t="s">
        <v>288</v>
      </c>
      <c r="K31" s="992"/>
      <c r="L31" s="992"/>
      <c r="M31" s="679"/>
    </row>
    <row r="32" spans="1:13" x14ac:dyDescent="0.35">
      <c r="B32" s="993"/>
      <c r="C32" s="993"/>
      <c r="D32" s="993"/>
      <c r="E32" s="993"/>
      <c r="F32" s="993"/>
      <c r="G32" s="993"/>
      <c r="H32" s="993"/>
      <c r="I32" s="993"/>
      <c r="J32" s="993"/>
      <c r="K32" s="684"/>
      <c r="L32" s="667"/>
    </row>
    <row r="33" spans="1:11" ht="77.25" customHeight="1" x14ac:dyDescent="0.35">
      <c r="A33" s="994" t="s">
        <v>315</v>
      </c>
      <c r="B33" s="993"/>
      <c r="C33" s="993"/>
      <c r="D33" s="993"/>
      <c r="E33" s="993"/>
      <c r="F33" s="993"/>
      <c r="G33" s="993"/>
      <c r="H33" s="993"/>
      <c r="I33" s="993"/>
      <c r="J33" s="993"/>
      <c r="K33" s="684"/>
    </row>
    <row r="34" spans="1:11" x14ac:dyDescent="0.35">
      <c r="A34" s="671" t="s">
        <v>180</v>
      </c>
    </row>
    <row r="35" spans="1:11" ht="79.5" customHeight="1" x14ac:dyDescent="0.35">
      <c r="A35" s="662" t="s">
        <v>316</v>
      </c>
    </row>
    <row r="36" spans="1:11" ht="39.75" customHeight="1" x14ac:dyDescent="0.35">
      <c r="A36" s="662" t="s">
        <v>317</v>
      </c>
    </row>
    <row r="37" spans="1:11" ht="39.75" customHeight="1" x14ac:dyDescent="0.35">
      <c r="A37" s="662" t="s">
        <v>318</v>
      </c>
    </row>
  </sheetData>
  <mergeCells count="12">
    <mergeCell ref="L13:L21"/>
    <mergeCell ref="J31:L31"/>
    <mergeCell ref="B32:J32"/>
    <mergeCell ref="A33:J33"/>
    <mergeCell ref="C5:F5"/>
    <mergeCell ref="K5:K6"/>
    <mergeCell ref="G5:J5"/>
    <mergeCell ref="A1:B1"/>
    <mergeCell ref="A2:B2"/>
    <mergeCell ref="A3:L3"/>
    <mergeCell ref="A5:A6"/>
    <mergeCell ref="B5:B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4B34C-1CE4-46DF-B064-A1A406A8C3E7}">
  <sheetPr>
    <tabColor rgb="FF00B050"/>
    <pageSetUpPr fitToPage="1"/>
  </sheetPr>
  <dimension ref="A1:G27"/>
  <sheetViews>
    <sheetView topLeftCell="A4" zoomScale="89" zoomScaleNormal="89" workbookViewId="0">
      <selection activeCell="D15" sqref="D15"/>
    </sheetView>
  </sheetViews>
  <sheetFormatPr defaultColWidth="9" defaultRowHeight="15.5" x14ac:dyDescent="0.35"/>
  <cols>
    <col min="1" max="1" width="5.08984375" style="235" customWidth="1"/>
    <col min="2" max="2" width="52.36328125" style="235" customWidth="1"/>
    <col min="3" max="3" width="11.08984375" style="235" customWidth="1"/>
    <col min="4" max="5" width="11" style="235" customWidth="1"/>
    <col min="6" max="6" width="12.453125" style="235" customWidth="1"/>
    <col min="7" max="7" width="48" style="382" customWidth="1"/>
    <col min="8" max="16384" width="9" style="235"/>
  </cols>
  <sheetData>
    <row r="1" spans="1:7" x14ac:dyDescent="0.35">
      <c r="A1" s="956" t="s">
        <v>0</v>
      </c>
      <c r="B1" s="956"/>
      <c r="C1" s="442"/>
      <c r="F1" s="446" t="s">
        <v>611</v>
      </c>
    </row>
    <row r="2" spans="1:7" x14ac:dyDescent="0.35">
      <c r="A2" s="818" t="s">
        <v>278</v>
      </c>
      <c r="B2" s="818"/>
      <c r="C2" s="442"/>
      <c r="D2" s="260"/>
    </row>
    <row r="3" spans="1:7" ht="35.25" customHeight="1" x14ac:dyDescent="0.35">
      <c r="A3" s="1000" t="s">
        <v>608</v>
      </c>
      <c r="B3" s="1000"/>
      <c r="C3" s="1000"/>
      <c r="D3" s="1000"/>
      <c r="E3" s="1000"/>
      <c r="F3" s="1000"/>
    </row>
    <row r="4" spans="1:7" ht="27.75" customHeight="1" thickBot="1" x14ac:dyDescent="0.4">
      <c r="E4" s="958" t="s">
        <v>280</v>
      </c>
      <c r="F4" s="958"/>
    </row>
    <row r="5" spans="1:7" s="442" customFormat="1" ht="138" customHeight="1" thickTop="1" x14ac:dyDescent="0.35">
      <c r="A5" s="236" t="s">
        <v>281</v>
      </c>
      <c r="B5" s="237" t="s">
        <v>6</v>
      </c>
      <c r="C5" s="238" t="s">
        <v>508</v>
      </c>
      <c r="D5" s="238" t="s">
        <v>248</v>
      </c>
      <c r="E5" s="238" t="s">
        <v>249</v>
      </c>
      <c r="F5" s="239" t="s">
        <v>16</v>
      </c>
      <c r="G5" s="443"/>
    </row>
    <row r="6" spans="1:7" s="442" customFormat="1" ht="15" x14ac:dyDescent="0.35">
      <c r="A6" s="261" t="s">
        <v>88</v>
      </c>
      <c r="B6" s="262" t="s">
        <v>89</v>
      </c>
      <c r="C6" s="263" t="s">
        <v>90</v>
      </c>
      <c r="D6" s="263" t="s">
        <v>91</v>
      </c>
      <c r="E6" s="263" t="s">
        <v>92</v>
      </c>
      <c r="F6" s="264" t="s">
        <v>152</v>
      </c>
      <c r="G6" s="443"/>
    </row>
    <row r="7" spans="1:7" s="244" customFormat="1" ht="33.75" customHeight="1" x14ac:dyDescent="0.35">
      <c r="A7" s="265"/>
      <c r="B7" s="266" t="s">
        <v>293</v>
      </c>
      <c r="C7" s="266"/>
      <c r="D7" s="267"/>
      <c r="E7" s="266"/>
      <c r="F7" s="268"/>
      <c r="G7" s="226"/>
    </row>
    <row r="8" spans="1:7" ht="22.5" customHeight="1" x14ac:dyDescent="0.35">
      <c r="A8" s="494">
        <v>1</v>
      </c>
      <c r="B8" s="241" t="s">
        <v>590</v>
      </c>
      <c r="C8" s="275"/>
      <c r="D8" s="276"/>
      <c r="E8" s="277"/>
      <c r="F8" s="278"/>
    </row>
    <row r="9" spans="1:7" ht="22.5" customHeight="1" x14ac:dyDescent="0.35">
      <c r="A9" s="253" t="s">
        <v>21</v>
      </c>
      <c r="B9" s="250" t="s">
        <v>591</v>
      </c>
      <c r="C9" s="275"/>
      <c r="D9" s="276">
        <f>5*10*23</f>
        <v>1150</v>
      </c>
      <c r="E9" s="277">
        <f>'[1]Bieu 7 NCKH'!D27</f>
        <v>0</v>
      </c>
      <c r="F9" s="278"/>
    </row>
    <row r="10" spans="1:7" ht="22.5" customHeight="1" x14ac:dyDescent="0.35">
      <c r="A10" s="337" t="s">
        <v>30</v>
      </c>
      <c r="B10" s="250" t="s">
        <v>603</v>
      </c>
      <c r="C10" s="275"/>
      <c r="D10" s="276">
        <f>5*10*23</f>
        <v>1150</v>
      </c>
      <c r="E10" s="277">
        <f>'[1]Bieu 7 NCKH'!D28</f>
        <v>0</v>
      </c>
      <c r="F10" s="278"/>
    </row>
    <row r="11" spans="1:7" s="244" customFormat="1" ht="22.5" customHeight="1" x14ac:dyDescent="0.35">
      <c r="A11" s="338">
        <v>2</v>
      </c>
      <c r="B11" s="499" t="s">
        <v>604</v>
      </c>
      <c r="C11" s="275"/>
      <c r="D11" s="500"/>
      <c r="E11" s="275"/>
      <c r="F11" s="501"/>
      <c r="G11" s="226"/>
    </row>
    <row r="12" spans="1:7" ht="22.5" customHeight="1" x14ac:dyDescent="0.35">
      <c r="A12" s="338">
        <v>3</v>
      </c>
      <c r="B12" s="499" t="s">
        <v>605</v>
      </c>
      <c r="C12" s="277"/>
      <c r="D12" s="276"/>
      <c r="E12" s="277"/>
      <c r="F12" s="278"/>
    </row>
    <row r="13" spans="1:7" ht="22.5" customHeight="1" x14ac:dyDescent="0.35">
      <c r="A13" s="338">
        <v>4</v>
      </c>
      <c r="B13" s="499" t="s">
        <v>606</v>
      </c>
      <c r="C13" s="277"/>
      <c r="D13" s="276"/>
      <c r="E13" s="277"/>
      <c r="F13" s="278"/>
    </row>
    <row r="14" spans="1:7" ht="22.5" customHeight="1" x14ac:dyDescent="0.35">
      <c r="A14" s="338">
        <v>5</v>
      </c>
      <c r="B14" s="499" t="s">
        <v>616</v>
      </c>
      <c r="C14" s="277"/>
      <c r="D14" s="276"/>
      <c r="E14" s="277"/>
      <c r="F14" s="278"/>
    </row>
    <row r="15" spans="1:7" ht="22.5" customHeight="1" x14ac:dyDescent="0.35">
      <c r="A15" s="338">
        <v>6</v>
      </c>
      <c r="B15" s="499" t="s">
        <v>617</v>
      </c>
      <c r="C15" s="277"/>
      <c r="D15" s="276"/>
      <c r="E15" s="277"/>
      <c r="F15" s="278"/>
    </row>
    <row r="16" spans="1:7" ht="22.5" customHeight="1" x14ac:dyDescent="0.35">
      <c r="A16" s="337">
        <v>7</v>
      </c>
      <c r="B16" s="498" t="s">
        <v>607</v>
      </c>
      <c r="C16" s="277"/>
      <c r="D16" s="276"/>
      <c r="E16" s="277"/>
      <c r="F16" s="278"/>
    </row>
    <row r="17" spans="1:7" ht="22.5" customHeight="1" x14ac:dyDescent="0.35">
      <c r="A17" s="337">
        <v>8</v>
      </c>
      <c r="B17" s="498" t="s">
        <v>607</v>
      </c>
      <c r="C17" s="277"/>
      <c r="D17" s="276"/>
      <c r="E17" s="277"/>
      <c r="F17" s="278"/>
    </row>
    <row r="18" spans="1:7" ht="77.25" customHeight="1" x14ac:dyDescent="0.35">
      <c r="A18" s="494">
        <v>9</v>
      </c>
      <c r="B18" s="251" t="s">
        <v>610</v>
      </c>
      <c r="C18" s="241"/>
      <c r="D18" s="242"/>
      <c r="E18" s="248"/>
      <c r="F18" s="249"/>
    </row>
    <row r="19" spans="1:7" ht="22.5" customHeight="1" x14ac:dyDescent="0.35">
      <c r="A19" s="337"/>
      <c r="B19" s="498"/>
      <c r="C19" s="277"/>
      <c r="D19" s="276"/>
      <c r="E19" s="277"/>
      <c r="F19" s="278"/>
    </row>
    <row r="20" spans="1:7" ht="21.75" customHeight="1" thickBot="1" x14ac:dyDescent="0.4">
      <c r="A20" s="254"/>
      <c r="B20" s="256"/>
      <c r="C20" s="255"/>
      <c r="D20" s="257"/>
      <c r="E20" s="256"/>
      <c r="F20" s="258"/>
    </row>
    <row r="21" spans="1:7" s="259" customFormat="1" ht="16" thickTop="1" x14ac:dyDescent="0.35">
      <c r="D21" s="959" t="s">
        <v>288</v>
      </c>
      <c r="E21" s="959"/>
      <c r="F21" s="959"/>
      <c r="G21" s="447"/>
    </row>
    <row r="22" spans="1:7" x14ac:dyDescent="0.35">
      <c r="B22" s="955"/>
      <c r="C22" s="955"/>
      <c r="D22" s="955"/>
      <c r="E22" s="957"/>
      <c r="F22" s="957"/>
    </row>
    <row r="23" spans="1:7" ht="77.25" customHeight="1" x14ac:dyDescent="0.35">
      <c r="A23" s="945"/>
      <c r="B23" s="955"/>
      <c r="C23" s="955"/>
      <c r="D23" s="955"/>
    </row>
    <row r="24" spans="1:7" x14ac:dyDescent="0.35">
      <c r="A24" s="244"/>
    </row>
    <row r="25" spans="1:7" ht="79.5" customHeight="1" x14ac:dyDescent="0.35"/>
    <row r="26" spans="1:7" ht="39.75" customHeight="1" x14ac:dyDescent="0.35"/>
    <row r="27" spans="1:7" ht="39.75" customHeight="1" x14ac:dyDescent="0.35"/>
  </sheetData>
  <mergeCells count="8">
    <mergeCell ref="D21:F21"/>
    <mergeCell ref="B22:D22"/>
    <mergeCell ref="E22:F22"/>
    <mergeCell ref="A23:D23"/>
    <mergeCell ref="A1:B1"/>
    <mergeCell ref="A2:B2"/>
    <mergeCell ref="A3:F3"/>
    <mergeCell ref="E4:F4"/>
  </mergeCells>
  <pageMargins left="0.7" right="0.17" top="0.33" bottom="0.18" header="0.3" footer="0.3"/>
  <pageSetup paperSize="9" scale="84"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B951A-1997-4BE0-8656-C34976FAB938}">
  <sheetPr>
    <tabColor rgb="FFFF0000"/>
    <pageSetUpPr fitToPage="1"/>
  </sheetPr>
  <dimension ref="A1:G50"/>
  <sheetViews>
    <sheetView workbookViewId="0">
      <selection activeCell="B8" sqref="B8"/>
    </sheetView>
  </sheetViews>
  <sheetFormatPr defaultColWidth="9" defaultRowHeight="18" x14ac:dyDescent="0.35"/>
  <cols>
    <col min="1" max="1" width="5.08984375" style="301" customWidth="1"/>
    <col min="2" max="2" width="58.36328125" style="299" customWidth="1"/>
    <col min="3" max="3" width="11.7265625" style="301" customWidth="1"/>
    <col min="4" max="4" width="14.6328125" style="299" customWidth="1"/>
    <col min="5" max="5" width="9" style="301"/>
    <col min="6" max="6" width="73.90625" style="344" customWidth="1"/>
    <col min="7" max="16384" width="9" style="301"/>
  </cols>
  <sheetData>
    <row r="1" spans="1:7" x14ac:dyDescent="0.35">
      <c r="A1" s="1002" t="s">
        <v>377</v>
      </c>
      <c r="B1" s="1002"/>
      <c r="C1" s="1003" t="s">
        <v>378</v>
      </c>
      <c r="D1" s="1003"/>
      <c r="E1" s="299"/>
      <c r="F1" s="300"/>
      <c r="G1" s="299"/>
    </row>
    <row r="2" spans="1:7" x14ac:dyDescent="0.35">
      <c r="A2" s="1004" t="s">
        <v>379</v>
      </c>
      <c r="B2" s="1004"/>
      <c r="C2" s="299"/>
      <c r="E2" s="299"/>
      <c r="F2" s="300"/>
      <c r="G2" s="299"/>
    </row>
    <row r="3" spans="1:7" ht="8.25" customHeight="1" x14ac:dyDescent="0.35">
      <c r="A3" s="299"/>
      <c r="C3" s="299"/>
      <c r="E3" s="299"/>
      <c r="F3" s="300"/>
      <c r="G3" s="299"/>
    </row>
    <row r="4" spans="1:7" ht="30" customHeight="1" x14ac:dyDescent="0.35">
      <c r="A4" s="1005" t="s">
        <v>375</v>
      </c>
      <c r="B4" s="1005"/>
      <c r="C4" s="1005"/>
      <c r="D4" s="1005"/>
      <c r="E4" s="299"/>
      <c r="F4" s="300"/>
      <c r="G4" s="299"/>
    </row>
    <row r="5" spans="1:7" ht="18.5" thickBot="1" x14ac:dyDescent="0.4">
      <c r="A5" s="299"/>
      <c r="C5" s="1006" t="s">
        <v>380</v>
      </c>
      <c r="D5" s="1006"/>
      <c r="E5" s="299"/>
      <c r="F5" s="302" t="s">
        <v>381</v>
      </c>
      <c r="G5" s="299"/>
    </row>
    <row r="6" spans="1:7" s="140" customFormat="1" ht="15.5" thickTop="1" x14ac:dyDescent="0.35">
      <c r="A6" s="303" t="s">
        <v>281</v>
      </c>
      <c r="B6" s="304" t="s">
        <v>6</v>
      </c>
      <c r="C6" s="305" t="s">
        <v>249</v>
      </c>
      <c r="D6" s="306" t="s">
        <v>16</v>
      </c>
      <c r="E6" s="307"/>
      <c r="F6" s="302"/>
      <c r="G6" s="307"/>
    </row>
    <row r="7" spans="1:7" s="244" customFormat="1" ht="15" x14ac:dyDescent="0.35">
      <c r="A7" s="308"/>
      <c r="B7" s="309" t="s">
        <v>382</v>
      </c>
      <c r="C7" s="309">
        <f>C8+C19+C33+C37</f>
        <v>0</v>
      </c>
      <c r="D7" s="310"/>
      <c r="E7" s="311"/>
      <c r="F7" s="312"/>
      <c r="G7" s="311"/>
    </row>
    <row r="8" spans="1:7" s="244" customFormat="1" ht="17.149999999999999" customHeight="1" x14ac:dyDescent="0.35">
      <c r="A8" s="313">
        <v>1</v>
      </c>
      <c r="B8" s="314" t="s">
        <v>383</v>
      </c>
      <c r="C8" s="315">
        <f>SUM(C9:C18)</f>
        <v>0</v>
      </c>
      <c r="D8" s="316"/>
      <c r="E8" s="311"/>
      <c r="F8" s="312"/>
      <c r="G8" s="311"/>
    </row>
    <row r="9" spans="1:7" s="235" customFormat="1" ht="34.5" customHeight="1" x14ac:dyDescent="0.35">
      <c r="A9" s="245">
        <v>1.1000000000000001</v>
      </c>
      <c r="B9" s="317" t="s">
        <v>384</v>
      </c>
      <c r="C9" s="248">
        <v>0</v>
      </c>
      <c r="D9" s="318" t="s">
        <v>325</v>
      </c>
      <c r="F9" s="319" t="s">
        <v>385</v>
      </c>
    </row>
    <row r="10" spans="1:7" s="235" customFormat="1" ht="45.75" customHeight="1" x14ac:dyDescent="0.35">
      <c r="A10" s="245">
        <v>1.2</v>
      </c>
      <c r="B10" s="320" t="s">
        <v>386</v>
      </c>
      <c r="C10" s="248">
        <f>'[1]Bieu 2B -Gio day ĐH va tren DH'!N76*75</f>
        <v>0</v>
      </c>
      <c r="D10" s="318" t="s">
        <v>193</v>
      </c>
      <c r="F10" s="319" t="s">
        <v>387</v>
      </c>
    </row>
    <row r="11" spans="1:7" s="235" customFormat="1" ht="15.5" x14ac:dyDescent="0.35">
      <c r="A11" s="245">
        <v>1.3</v>
      </c>
      <c r="B11" s="321" t="s">
        <v>388</v>
      </c>
      <c r="C11" s="322"/>
      <c r="D11" s="318"/>
      <c r="F11" s="323"/>
    </row>
    <row r="12" spans="1:7" s="235" customFormat="1" ht="46.5" x14ac:dyDescent="0.35">
      <c r="A12" s="245" t="s">
        <v>389</v>
      </c>
      <c r="B12" s="321" t="s">
        <v>390</v>
      </c>
      <c r="C12" s="322"/>
      <c r="D12" s="318"/>
      <c r="F12" s="323" t="s">
        <v>391</v>
      </c>
    </row>
    <row r="13" spans="1:7" s="235" customFormat="1" ht="117.75" customHeight="1" x14ac:dyDescent="0.35">
      <c r="A13" s="245" t="s">
        <v>392</v>
      </c>
      <c r="B13" s="321" t="s">
        <v>393</v>
      </c>
      <c r="C13" s="322"/>
      <c r="D13" s="318"/>
      <c r="F13" s="323" t="s">
        <v>453</v>
      </c>
    </row>
    <row r="14" spans="1:7" s="235" customFormat="1" ht="15.5" x14ac:dyDescent="0.35">
      <c r="A14" s="245" t="s">
        <v>394</v>
      </c>
      <c r="B14" s="324" t="s">
        <v>395</v>
      </c>
      <c r="C14" s="322"/>
      <c r="D14" s="318"/>
      <c r="F14" s="323" t="s">
        <v>396</v>
      </c>
    </row>
    <row r="15" spans="1:7" s="235" customFormat="1" ht="93" x14ac:dyDescent="0.35">
      <c r="A15" s="245">
        <v>1.4</v>
      </c>
      <c r="B15" s="321" t="s">
        <v>397</v>
      </c>
      <c r="C15" s="248"/>
      <c r="D15" s="325" t="s">
        <v>398</v>
      </c>
      <c r="F15" s="319" t="s">
        <v>399</v>
      </c>
    </row>
    <row r="16" spans="1:7" s="235" customFormat="1" ht="17.149999999999999" customHeight="1" x14ac:dyDescent="0.35">
      <c r="A16" s="245">
        <v>1.5</v>
      </c>
      <c r="B16" s="321" t="s">
        <v>400</v>
      </c>
      <c r="C16" s="248"/>
      <c r="D16" s="326" t="s">
        <v>401</v>
      </c>
      <c r="F16" s="319" t="s">
        <v>402</v>
      </c>
    </row>
    <row r="17" spans="1:6" s="235" customFormat="1" ht="62" x14ac:dyDescent="0.35">
      <c r="A17" s="245">
        <v>1.6</v>
      </c>
      <c r="B17" s="321" t="s">
        <v>403</v>
      </c>
      <c r="C17" s="248"/>
      <c r="D17" s="325" t="s">
        <v>404</v>
      </c>
      <c r="F17" s="319" t="s">
        <v>405</v>
      </c>
    </row>
    <row r="18" spans="1:6" s="235" customFormat="1" ht="31" x14ac:dyDescent="0.35">
      <c r="A18" s="245">
        <v>1.7</v>
      </c>
      <c r="B18" s="321" t="s">
        <v>256</v>
      </c>
      <c r="C18" s="248"/>
      <c r="D18" s="318"/>
      <c r="F18" s="319" t="s">
        <v>406</v>
      </c>
    </row>
    <row r="19" spans="1:6" s="235" customFormat="1" ht="17.149999999999999" customHeight="1" x14ac:dyDescent="0.35">
      <c r="A19" s="240">
        <v>2</v>
      </c>
      <c r="B19" s="327" t="s">
        <v>407</v>
      </c>
      <c r="C19" s="241">
        <f>SUM(C20:C32)</f>
        <v>0</v>
      </c>
      <c r="D19" s="318"/>
      <c r="F19" s="319"/>
    </row>
    <row r="20" spans="1:6" s="235" customFormat="1" ht="46.5" x14ac:dyDescent="0.35">
      <c r="A20" s="245" t="s">
        <v>408</v>
      </c>
      <c r="B20" s="328" t="s">
        <v>409</v>
      </c>
      <c r="C20" s="248"/>
      <c r="D20" s="318" t="s">
        <v>321</v>
      </c>
      <c r="F20" s="319" t="s">
        <v>410</v>
      </c>
    </row>
    <row r="21" spans="1:6" s="235" customFormat="1" ht="17.149999999999999" customHeight="1" x14ac:dyDescent="0.35">
      <c r="A21" s="329" t="s">
        <v>411</v>
      </c>
      <c r="B21" s="328" t="s">
        <v>412</v>
      </c>
      <c r="C21" s="277"/>
      <c r="D21" s="326" t="s">
        <v>401</v>
      </c>
      <c r="F21" s="319" t="s">
        <v>413</v>
      </c>
    </row>
    <row r="22" spans="1:6" s="235" customFormat="1" ht="17.149999999999999" customHeight="1" x14ac:dyDescent="0.35">
      <c r="A22" s="245" t="s">
        <v>414</v>
      </c>
      <c r="B22" s="328" t="s">
        <v>415</v>
      </c>
      <c r="C22" s="277"/>
      <c r="D22" s="326" t="s">
        <v>320</v>
      </c>
      <c r="F22" s="319" t="s">
        <v>416</v>
      </c>
    </row>
    <row r="23" spans="1:6" s="235" customFormat="1" ht="17.149999999999999" customHeight="1" x14ac:dyDescent="0.35">
      <c r="A23" s="329" t="s">
        <v>417</v>
      </c>
      <c r="B23" s="328" t="s">
        <v>418</v>
      </c>
      <c r="C23" s="277"/>
      <c r="D23" s="326" t="s">
        <v>419</v>
      </c>
      <c r="F23" s="319" t="s">
        <v>420</v>
      </c>
    </row>
    <row r="24" spans="1:6" s="235" customFormat="1" ht="17.149999999999999" customHeight="1" x14ac:dyDescent="0.35">
      <c r="A24" s="245" t="s">
        <v>421</v>
      </c>
      <c r="B24" s="328" t="s">
        <v>422</v>
      </c>
      <c r="C24" s="277">
        <f>'[1]Bieu 2B -Gio day ĐH va tren DH'!K76*115</f>
        <v>0</v>
      </c>
      <c r="D24" s="326" t="s">
        <v>423</v>
      </c>
      <c r="F24" s="319" t="s">
        <v>424</v>
      </c>
    </row>
    <row r="25" spans="1:6" s="235" customFormat="1" ht="17.149999999999999" customHeight="1" x14ac:dyDescent="0.35">
      <c r="A25" s="329" t="s">
        <v>425</v>
      </c>
      <c r="B25" s="328" t="s">
        <v>426</v>
      </c>
      <c r="C25" s="277"/>
      <c r="D25" s="326"/>
      <c r="F25" s="319"/>
    </row>
    <row r="26" spans="1:6" s="235" customFormat="1" ht="27.65" customHeight="1" x14ac:dyDescent="0.35">
      <c r="A26" s="245" t="s">
        <v>427</v>
      </c>
      <c r="B26" s="330" t="s">
        <v>428</v>
      </c>
      <c r="C26" s="277"/>
      <c r="D26" s="318" t="s">
        <v>321</v>
      </c>
      <c r="F26" s="319"/>
    </row>
    <row r="27" spans="1:6" s="235" customFormat="1" ht="69" customHeight="1" x14ac:dyDescent="0.35">
      <c r="A27" s="329" t="s">
        <v>429</v>
      </c>
      <c r="B27" s="331" t="s">
        <v>430</v>
      </c>
      <c r="C27" s="277"/>
      <c r="D27" s="326" t="s">
        <v>320</v>
      </c>
      <c r="F27" s="319" t="s">
        <v>431</v>
      </c>
    </row>
    <row r="28" spans="1:6" s="235" customFormat="1" ht="142.5" customHeight="1" x14ac:dyDescent="0.35">
      <c r="A28" s="329">
        <v>2.9</v>
      </c>
      <c r="B28" s="331" t="s">
        <v>432</v>
      </c>
      <c r="C28" s="277"/>
      <c r="D28" s="326"/>
      <c r="F28" s="323" t="s">
        <v>464</v>
      </c>
    </row>
    <row r="29" spans="1:6" s="235" customFormat="1" ht="48" customHeight="1" x14ac:dyDescent="0.35">
      <c r="A29" s="329" t="s">
        <v>433</v>
      </c>
      <c r="B29" s="331" t="s">
        <v>434</v>
      </c>
      <c r="C29" s="332"/>
      <c r="D29" s="333" t="s">
        <v>435</v>
      </c>
      <c r="E29" s="260"/>
      <c r="F29" s="334" t="s">
        <v>436</v>
      </c>
    </row>
    <row r="30" spans="1:6" s="235" customFormat="1" ht="48" customHeight="1" x14ac:dyDescent="0.35">
      <c r="A30" s="329"/>
      <c r="B30" s="526" t="s">
        <v>627</v>
      </c>
      <c r="C30" s="332"/>
      <c r="D30" s="333"/>
      <c r="E30" s="260"/>
      <c r="F30" s="334" t="s">
        <v>628</v>
      </c>
    </row>
    <row r="31" spans="1:6" s="235" customFormat="1" ht="73.5" customHeight="1" x14ac:dyDescent="0.35">
      <c r="A31" s="329" t="s">
        <v>437</v>
      </c>
      <c r="B31" s="331" t="s">
        <v>438</v>
      </c>
      <c r="C31" s="332"/>
      <c r="D31" s="333"/>
      <c r="E31" s="260"/>
      <c r="F31" s="334" t="s">
        <v>452</v>
      </c>
    </row>
    <row r="32" spans="1:6" s="235" customFormat="1" ht="62" x14ac:dyDescent="0.35">
      <c r="A32" s="335" t="s">
        <v>437</v>
      </c>
      <c r="B32" s="331" t="s">
        <v>439</v>
      </c>
      <c r="C32" s="332"/>
      <c r="D32" s="333" t="s">
        <v>435</v>
      </c>
      <c r="E32" s="260"/>
      <c r="F32" s="334" t="s">
        <v>440</v>
      </c>
    </row>
    <row r="33" spans="1:6" s="235" customFormat="1" ht="15.5" x14ac:dyDescent="0.35">
      <c r="A33" s="240">
        <v>3</v>
      </c>
      <c r="B33" s="336" t="s">
        <v>441</v>
      </c>
      <c r="C33" s="275">
        <f>SUM(C34:C36)</f>
        <v>0</v>
      </c>
      <c r="D33" s="318" t="s">
        <v>321</v>
      </c>
      <c r="F33" s="319"/>
    </row>
    <row r="34" spans="1:6" s="235" customFormat="1" ht="15.5" x14ac:dyDescent="0.35">
      <c r="A34" s="337">
        <v>3.1</v>
      </c>
      <c r="B34" s="331" t="s">
        <v>442</v>
      </c>
      <c r="C34" s="277">
        <f>'[1]Bieu5-Nhu cau mua sam'!E15+'[1]Bieu5-Nhu cau mua sam'!E6</f>
        <v>0</v>
      </c>
      <c r="D34" s="326"/>
      <c r="F34" s="319"/>
    </row>
    <row r="35" spans="1:6" s="235" customFormat="1" ht="15.5" x14ac:dyDescent="0.35">
      <c r="A35" s="337">
        <v>3.2</v>
      </c>
      <c r="B35" s="331" t="s">
        <v>252</v>
      </c>
      <c r="C35" s="277">
        <f>'[1]Bieu5-Nhu cau mua sam'!E9</f>
        <v>0</v>
      </c>
      <c r="D35" s="326"/>
      <c r="F35" s="319"/>
    </row>
    <row r="36" spans="1:6" s="235" customFormat="1" ht="15.5" x14ac:dyDescent="0.35">
      <c r="A36" s="337">
        <v>3.3</v>
      </c>
      <c r="B36" s="331" t="s">
        <v>443</v>
      </c>
      <c r="C36" s="277"/>
      <c r="D36" s="326"/>
      <c r="F36" s="319" t="s">
        <v>444</v>
      </c>
    </row>
    <row r="37" spans="1:6" s="235" customFormat="1" ht="15.5" x14ac:dyDescent="0.35">
      <c r="A37" s="338">
        <v>4</v>
      </c>
      <c r="B37" s="336" t="s">
        <v>439</v>
      </c>
      <c r="C37" s="275">
        <f>SUM(C38:C39)</f>
        <v>0</v>
      </c>
      <c r="D37" s="326"/>
      <c r="F37" s="319"/>
    </row>
    <row r="38" spans="1:6" s="235" customFormat="1" ht="15.5" x14ac:dyDescent="0.35">
      <c r="A38" s="337">
        <v>4.0999999999999996</v>
      </c>
      <c r="B38" s="330" t="s">
        <v>445</v>
      </c>
      <c r="C38" s="275"/>
      <c r="D38" s="326"/>
      <c r="F38" s="319"/>
    </row>
    <row r="39" spans="1:6" s="235" customFormat="1" ht="15" customHeight="1" x14ac:dyDescent="0.35">
      <c r="A39" s="337">
        <v>4.2</v>
      </c>
      <c r="B39" s="330" t="s">
        <v>446</v>
      </c>
      <c r="C39" s="277"/>
      <c r="D39" s="326"/>
      <c r="F39" s="319"/>
    </row>
    <row r="40" spans="1:6" s="235" customFormat="1" ht="18.5" thickBot="1" x14ac:dyDescent="0.4">
      <c r="A40" s="339"/>
      <c r="B40" s="340"/>
      <c r="C40" s="256"/>
      <c r="D40" s="341"/>
      <c r="F40" s="319"/>
    </row>
    <row r="41" spans="1:6" ht="18.5" thickTop="1" x14ac:dyDescent="0.35">
      <c r="C41" s="342"/>
      <c r="D41" s="343"/>
    </row>
    <row r="42" spans="1:6" x14ac:dyDescent="0.35">
      <c r="C42" s="345"/>
      <c r="D42" s="346" t="s">
        <v>288</v>
      </c>
      <c r="E42" s="347"/>
    </row>
    <row r="43" spans="1:6" x14ac:dyDescent="0.3">
      <c r="C43" s="1007" t="s">
        <v>43</v>
      </c>
      <c r="D43" s="1007"/>
      <c r="E43" s="348"/>
    </row>
    <row r="44" spans="1:6" x14ac:dyDescent="0.3">
      <c r="C44" s="349"/>
      <c r="D44" s="349"/>
      <c r="E44" s="348"/>
    </row>
    <row r="45" spans="1:6" x14ac:dyDescent="0.3">
      <c r="C45" s="349"/>
      <c r="D45" s="349"/>
      <c r="E45" s="348"/>
    </row>
    <row r="46" spans="1:6" x14ac:dyDescent="0.3">
      <c r="C46" s="349"/>
      <c r="D46" s="349"/>
      <c r="E46" s="348"/>
    </row>
    <row r="47" spans="1:6" x14ac:dyDescent="0.3">
      <c r="C47" s="349"/>
      <c r="D47" s="349"/>
      <c r="E47" s="348"/>
    </row>
    <row r="48" spans="1:6" x14ac:dyDescent="0.3">
      <c r="C48" s="349"/>
      <c r="D48" s="349"/>
      <c r="E48" s="348"/>
    </row>
    <row r="49" spans="2:5" x14ac:dyDescent="0.3">
      <c r="C49" s="349"/>
      <c r="D49" s="349"/>
      <c r="E49" s="348"/>
    </row>
    <row r="50" spans="2:5" ht="63" customHeight="1" x14ac:dyDescent="0.35">
      <c r="B50" s="1001" t="s">
        <v>447</v>
      </c>
      <c r="C50" s="1001"/>
      <c r="D50" s="1001"/>
    </row>
  </sheetData>
  <mergeCells count="7">
    <mergeCell ref="B50:D50"/>
    <mergeCell ref="A1:B1"/>
    <mergeCell ref="C1:D1"/>
    <mergeCell ref="A2:B2"/>
    <mergeCell ref="A4:D4"/>
    <mergeCell ref="C5:D5"/>
    <mergeCell ref="C43:D43"/>
  </mergeCells>
  <pageMargins left="0.68" right="0.17" top="0.75" bottom="0.17" header="0.3" footer="0.3"/>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13471-5F22-4DF8-B1D5-FB49FF86A2D4}">
  <sheetPr>
    <tabColor rgb="FFFFFF00"/>
    <pageSetUpPr fitToPage="1"/>
  </sheetPr>
  <dimension ref="A1:M118"/>
  <sheetViews>
    <sheetView topLeftCell="B2" workbookViewId="0">
      <selection activeCell="G11" sqref="G11"/>
    </sheetView>
  </sheetViews>
  <sheetFormatPr defaultColWidth="9" defaultRowHeight="14.5" x14ac:dyDescent="0.35"/>
  <cols>
    <col min="1" max="1" width="4.90625" style="141" customWidth="1"/>
    <col min="2" max="2" width="34.36328125" style="141" customWidth="1"/>
    <col min="3" max="3" width="8.26953125" style="141" customWidth="1"/>
    <col min="4" max="12" width="8.08984375" style="141" customWidth="1"/>
    <col min="13" max="16384" width="9" style="141"/>
  </cols>
  <sheetData>
    <row r="1" spans="1:12" x14ac:dyDescent="0.35">
      <c r="A1" s="815" t="s">
        <v>0</v>
      </c>
      <c r="B1" s="815"/>
      <c r="C1" s="197"/>
      <c r="D1" s="197"/>
      <c r="E1" s="197"/>
      <c r="F1" s="197"/>
      <c r="G1" s="197"/>
      <c r="H1" s="197"/>
      <c r="I1" s="197"/>
      <c r="J1" s="197"/>
      <c r="K1" s="816" t="s">
        <v>1</v>
      </c>
      <c r="L1" s="816"/>
    </row>
    <row r="2" spans="1:12" x14ac:dyDescent="0.35">
      <c r="A2" s="817" t="s">
        <v>2</v>
      </c>
      <c r="B2" s="817"/>
      <c r="C2" s="197"/>
      <c r="D2" s="197"/>
      <c r="E2" s="197"/>
      <c r="F2" s="197"/>
      <c r="G2" s="197"/>
      <c r="H2" s="197"/>
      <c r="I2" s="197"/>
      <c r="J2" s="197"/>
      <c r="K2" s="222"/>
      <c r="L2" s="222"/>
    </row>
    <row r="3" spans="1:12" ht="26.25" customHeight="1" x14ac:dyDescent="0.35">
      <c r="A3" s="818" t="s">
        <v>3</v>
      </c>
      <c r="B3" s="818"/>
      <c r="C3" s="818"/>
      <c r="D3" s="818"/>
      <c r="E3" s="818"/>
      <c r="F3" s="818"/>
      <c r="G3" s="818"/>
      <c r="H3" s="818"/>
      <c r="I3" s="818"/>
      <c r="J3" s="818"/>
      <c r="K3" s="818"/>
      <c r="L3" s="818"/>
    </row>
    <row r="4" spans="1:12" ht="15" thickBot="1" x14ac:dyDescent="0.4">
      <c r="A4" s="227"/>
      <c r="B4" s="227"/>
      <c r="C4" s="227"/>
      <c r="D4" s="227"/>
      <c r="E4" s="227"/>
      <c r="F4" s="227"/>
      <c r="G4" s="227"/>
      <c r="H4" s="227"/>
      <c r="I4" s="227"/>
      <c r="J4" s="227"/>
      <c r="K4" s="227"/>
      <c r="L4" s="228" t="s">
        <v>4</v>
      </c>
    </row>
    <row r="5" spans="1:12" ht="35.25" customHeight="1" thickTop="1" x14ac:dyDescent="0.35">
      <c r="A5" s="5" t="s">
        <v>5</v>
      </c>
      <c r="B5" s="6" t="s">
        <v>6</v>
      </c>
      <c r="C5" s="6" t="s">
        <v>7</v>
      </c>
      <c r="D5" s="6" t="s">
        <v>8</v>
      </c>
      <c r="E5" s="6" t="s">
        <v>9</v>
      </c>
      <c r="F5" s="6" t="s">
        <v>10</v>
      </c>
      <c r="G5" s="6" t="s">
        <v>11</v>
      </c>
      <c r="H5" s="6" t="s">
        <v>12</v>
      </c>
      <c r="I5" s="6" t="s">
        <v>13</v>
      </c>
      <c r="J5" s="6" t="s">
        <v>14</v>
      </c>
      <c r="K5" s="6" t="s">
        <v>15</v>
      </c>
      <c r="L5" s="7" t="s">
        <v>16</v>
      </c>
    </row>
    <row r="6" spans="1:12" ht="25.5" customHeight="1" x14ac:dyDescent="0.35">
      <c r="A6" s="8" t="s">
        <v>17</v>
      </c>
      <c r="B6" s="9" t="s">
        <v>18</v>
      </c>
      <c r="C6" s="10"/>
      <c r="D6" s="10"/>
      <c r="E6" s="10"/>
      <c r="F6" s="10"/>
      <c r="G6" s="10"/>
      <c r="H6" s="10"/>
      <c r="I6" s="10"/>
      <c r="J6" s="10"/>
      <c r="K6" s="11"/>
      <c r="L6" s="12"/>
    </row>
    <row r="7" spans="1:12" ht="28.5" customHeight="1" x14ac:dyDescent="0.35">
      <c r="A7" s="433" t="s">
        <v>19</v>
      </c>
      <c r="B7" s="434" t="s">
        <v>483</v>
      </c>
      <c r="C7" s="435"/>
      <c r="D7" s="436"/>
      <c r="E7" s="436"/>
      <c r="F7" s="436"/>
      <c r="G7" s="436"/>
      <c r="H7" s="436"/>
      <c r="I7" s="436"/>
      <c r="J7" s="436"/>
      <c r="K7" s="432"/>
      <c r="L7" s="437"/>
    </row>
    <row r="8" spans="1:12" ht="67.5" x14ac:dyDescent="0.35">
      <c r="A8" s="13" t="s">
        <v>21</v>
      </c>
      <c r="B8" s="14" t="s">
        <v>22</v>
      </c>
      <c r="C8" s="15" t="s">
        <v>23</v>
      </c>
      <c r="D8" s="16">
        <f>SUM(D9:D14)</f>
        <v>0</v>
      </c>
      <c r="E8" s="16">
        <f t="shared" ref="E8:J8" si="0">SUM(E9:E14)</f>
        <v>0</v>
      </c>
      <c r="F8" s="16">
        <f t="shared" si="0"/>
        <v>0</v>
      </c>
      <c r="G8" s="16">
        <f t="shared" si="0"/>
        <v>0</v>
      </c>
      <c r="H8" s="16">
        <f t="shared" si="0"/>
        <v>0</v>
      </c>
      <c r="I8" s="16">
        <f t="shared" si="0"/>
        <v>0</v>
      </c>
      <c r="J8" s="16">
        <f t="shared" si="0"/>
        <v>0</v>
      </c>
      <c r="K8" s="16">
        <f t="shared" ref="K8:K13" si="1">SUM(D8:J8)</f>
        <v>0</v>
      </c>
      <c r="L8" s="17"/>
    </row>
    <row r="9" spans="1:12" x14ac:dyDescent="0.35">
      <c r="A9" s="13"/>
      <c r="B9" s="18" t="s">
        <v>24</v>
      </c>
      <c r="C9" s="15" t="s">
        <v>23</v>
      </c>
      <c r="D9" s="16"/>
      <c r="E9" s="16"/>
      <c r="F9" s="16"/>
      <c r="G9" s="16"/>
      <c r="H9" s="16"/>
      <c r="I9" s="16"/>
      <c r="J9" s="16"/>
      <c r="K9" s="16">
        <f t="shared" si="1"/>
        <v>0</v>
      </c>
      <c r="L9" s="17"/>
    </row>
    <row r="10" spans="1:12" x14ac:dyDescent="0.35">
      <c r="A10" s="13"/>
      <c r="B10" s="18" t="s">
        <v>25</v>
      </c>
      <c r="C10" s="15" t="s">
        <v>23</v>
      </c>
      <c r="D10" s="16"/>
      <c r="E10" s="16"/>
      <c r="F10" s="16"/>
      <c r="G10" s="16"/>
      <c r="H10" s="16"/>
      <c r="I10" s="16"/>
      <c r="J10" s="16"/>
      <c r="K10" s="16">
        <f t="shared" si="1"/>
        <v>0</v>
      </c>
      <c r="L10" s="17"/>
    </row>
    <row r="11" spans="1:12" x14ac:dyDescent="0.35">
      <c r="A11" s="13"/>
      <c r="B11" s="18" t="s">
        <v>26</v>
      </c>
      <c r="C11" s="15" t="s">
        <v>23</v>
      </c>
      <c r="D11" s="16"/>
      <c r="E11" s="16"/>
      <c r="F11" s="16"/>
      <c r="G11" s="16"/>
      <c r="H11" s="16"/>
      <c r="I11" s="16"/>
      <c r="J11" s="16"/>
      <c r="K11" s="16">
        <f t="shared" si="1"/>
        <v>0</v>
      </c>
      <c r="L11" s="17"/>
    </row>
    <row r="12" spans="1:12" x14ac:dyDescent="0.35">
      <c r="A12" s="13"/>
      <c r="B12" s="18" t="s">
        <v>27</v>
      </c>
      <c r="C12" s="15" t="s">
        <v>23</v>
      </c>
      <c r="D12" s="16"/>
      <c r="E12" s="16"/>
      <c r="F12" s="16"/>
      <c r="G12" s="16"/>
      <c r="H12" s="16"/>
      <c r="I12" s="16"/>
      <c r="J12" s="16"/>
      <c r="K12" s="16">
        <f t="shared" si="1"/>
        <v>0</v>
      </c>
      <c r="L12" s="17"/>
    </row>
    <row r="13" spans="1:12" x14ac:dyDescent="0.35">
      <c r="A13" s="13"/>
      <c r="B13" s="18" t="s">
        <v>28</v>
      </c>
      <c r="C13" s="15" t="s">
        <v>23</v>
      </c>
      <c r="D13" s="16"/>
      <c r="E13" s="16"/>
      <c r="F13" s="16"/>
      <c r="G13" s="16"/>
      <c r="H13" s="16"/>
      <c r="I13" s="16"/>
      <c r="J13" s="16"/>
      <c r="K13" s="16">
        <f t="shared" si="1"/>
        <v>0</v>
      </c>
      <c r="L13" s="17"/>
    </row>
    <row r="14" spans="1:12" x14ac:dyDescent="0.35">
      <c r="A14" s="13"/>
      <c r="B14" s="18" t="s">
        <v>29</v>
      </c>
      <c r="C14" s="15" t="s">
        <v>23</v>
      </c>
      <c r="D14" s="16"/>
      <c r="E14" s="16"/>
      <c r="F14" s="16"/>
      <c r="G14" s="16"/>
      <c r="H14" s="16"/>
      <c r="I14" s="16"/>
      <c r="J14" s="16"/>
      <c r="K14" s="16"/>
      <c r="L14" s="17"/>
    </row>
    <row r="15" spans="1:12" ht="54" x14ac:dyDescent="0.35">
      <c r="A15" s="19" t="s">
        <v>30</v>
      </c>
      <c r="B15" s="14" t="s">
        <v>31</v>
      </c>
      <c r="C15" s="15"/>
      <c r="D15" s="16">
        <f>SUM(D16:D21)</f>
        <v>0</v>
      </c>
      <c r="E15" s="16">
        <f t="shared" ref="E15:J15" si="2">SUM(E16:E21)</f>
        <v>0</v>
      </c>
      <c r="F15" s="16">
        <f t="shared" si="2"/>
        <v>0</v>
      </c>
      <c r="G15" s="16">
        <f t="shared" si="2"/>
        <v>0</v>
      </c>
      <c r="H15" s="16">
        <f>SUM(H16:H21)</f>
        <v>0</v>
      </c>
      <c r="I15" s="16">
        <f t="shared" si="2"/>
        <v>0</v>
      </c>
      <c r="J15" s="16">
        <f t="shared" si="2"/>
        <v>0</v>
      </c>
      <c r="K15" s="16">
        <f t="shared" ref="K15:K20" si="3">SUM(D15:J15)</f>
        <v>0</v>
      </c>
      <c r="L15" s="17"/>
    </row>
    <row r="16" spans="1:12" x14ac:dyDescent="0.35">
      <c r="A16" s="13"/>
      <c r="B16" s="18" t="s">
        <v>24</v>
      </c>
      <c r="C16" s="15" t="s">
        <v>23</v>
      </c>
      <c r="D16" s="16"/>
      <c r="E16" s="16"/>
      <c r="F16" s="16"/>
      <c r="G16" s="16"/>
      <c r="H16" s="16"/>
      <c r="I16" s="16"/>
      <c r="J16" s="16"/>
      <c r="K16" s="16">
        <f t="shared" si="3"/>
        <v>0</v>
      </c>
      <c r="L16" s="17"/>
    </row>
    <row r="17" spans="1:13" x14ac:dyDescent="0.35">
      <c r="A17" s="13"/>
      <c r="B17" s="18" t="s">
        <v>25</v>
      </c>
      <c r="C17" s="15" t="s">
        <v>23</v>
      </c>
      <c r="D17" s="16"/>
      <c r="E17" s="16"/>
      <c r="F17" s="16"/>
      <c r="G17" s="16"/>
      <c r="H17" s="16"/>
      <c r="I17" s="16"/>
      <c r="J17" s="16"/>
      <c r="K17" s="16">
        <f t="shared" si="3"/>
        <v>0</v>
      </c>
      <c r="L17" s="17"/>
    </row>
    <row r="18" spans="1:13" x14ac:dyDescent="0.35">
      <c r="A18" s="13"/>
      <c r="B18" s="18" t="s">
        <v>26</v>
      </c>
      <c r="C18" s="15" t="s">
        <v>23</v>
      </c>
      <c r="D18" s="16"/>
      <c r="E18" s="16"/>
      <c r="F18" s="16"/>
      <c r="G18" s="16"/>
      <c r="H18" s="16"/>
      <c r="I18" s="16"/>
      <c r="J18" s="16"/>
      <c r="K18" s="16">
        <f t="shared" si="3"/>
        <v>0</v>
      </c>
      <c r="L18" s="17"/>
    </row>
    <row r="19" spans="1:13" x14ac:dyDescent="0.35">
      <c r="A19" s="13"/>
      <c r="B19" s="18" t="s">
        <v>27</v>
      </c>
      <c r="C19" s="15" t="s">
        <v>23</v>
      </c>
      <c r="D19" s="16"/>
      <c r="E19" s="16"/>
      <c r="F19" s="16"/>
      <c r="G19" s="16"/>
      <c r="H19" s="16"/>
      <c r="I19" s="16"/>
      <c r="J19" s="16"/>
      <c r="K19" s="16">
        <f t="shared" si="3"/>
        <v>0</v>
      </c>
      <c r="L19" s="17"/>
    </row>
    <row r="20" spans="1:13" x14ac:dyDescent="0.35">
      <c r="A20" s="13"/>
      <c r="B20" s="18" t="s">
        <v>28</v>
      </c>
      <c r="C20" s="15" t="s">
        <v>23</v>
      </c>
      <c r="D20" s="16"/>
      <c r="E20" s="16"/>
      <c r="F20" s="16"/>
      <c r="G20" s="16"/>
      <c r="H20" s="16"/>
      <c r="I20" s="16"/>
      <c r="J20" s="16"/>
      <c r="K20" s="16">
        <f t="shared" si="3"/>
        <v>0</v>
      </c>
      <c r="L20" s="17"/>
    </row>
    <row r="21" spans="1:13" x14ac:dyDescent="0.35">
      <c r="A21" s="13"/>
      <c r="B21" s="18" t="s">
        <v>29</v>
      </c>
      <c r="C21" s="15" t="s">
        <v>23</v>
      </c>
      <c r="D21" s="16"/>
      <c r="E21" s="16"/>
      <c r="F21" s="16"/>
      <c r="G21" s="16"/>
      <c r="H21" s="16"/>
      <c r="I21" s="16"/>
      <c r="J21" s="16"/>
      <c r="K21" s="16"/>
      <c r="L21" s="17"/>
    </row>
    <row r="22" spans="1:13" ht="53.15" customHeight="1" x14ac:dyDescent="0.35">
      <c r="A22" s="19" t="s">
        <v>32</v>
      </c>
      <c r="B22" s="528" t="s">
        <v>637</v>
      </c>
      <c r="C22" s="15" t="s">
        <v>23</v>
      </c>
      <c r="D22" s="16"/>
      <c r="E22" s="16"/>
      <c r="F22" s="16"/>
      <c r="G22" s="16"/>
      <c r="H22" s="16"/>
      <c r="I22" s="16"/>
      <c r="J22" s="16"/>
      <c r="K22" s="16">
        <f t="shared" ref="K22:K31" si="4">SUM(D22:J22)</f>
        <v>0</v>
      </c>
      <c r="L22" s="17"/>
    </row>
    <row r="23" spans="1:13" ht="61.5" customHeight="1" x14ac:dyDescent="0.35">
      <c r="A23" s="19"/>
      <c r="B23" s="18" t="s">
        <v>224</v>
      </c>
      <c r="C23" s="15"/>
      <c r="D23" s="16"/>
      <c r="E23" s="16"/>
      <c r="F23" s="16"/>
      <c r="G23" s="16"/>
      <c r="H23" s="16"/>
      <c r="I23" s="16"/>
      <c r="J23" s="16"/>
      <c r="K23" s="16">
        <f t="shared" si="4"/>
        <v>0</v>
      </c>
      <c r="L23" s="17"/>
    </row>
    <row r="24" spans="1:13" ht="67.5" x14ac:dyDescent="0.35">
      <c r="A24" s="19" t="s">
        <v>35</v>
      </c>
      <c r="B24" s="14" t="s">
        <v>36</v>
      </c>
      <c r="C24" s="21" t="s">
        <v>23</v>
      </c>
      <c r="D24" s="22">
        <f>SUM(D25:D30)</f>
        <v>0</v>
      </c>
      <c r="E24" s="22">
        <f t="shared" ref="E24:J24" si="5">SUM(E25:E30)</f>
        <v>0</v>
      </c>
      <c r="F24" s="22">
        <f t="shared" si="5"/>
        <v>0</v>
      </c>
      <c r="G24" s="22">
        <f t="shared" si="5"/>
        <v>0</v>
      </c>
      <c r="H24" s="22">
        <f t="shared" si="5"/>
        <v>0</v>
      </c>
      <c r="I24" s="22">
        <f t="shared" si="5"/>
        <v>0</v>
      </c>
      <c r="J24" s="22">
        <f t="shared" si="5"/>
        <v>0</v>
      </c>
      <c r="K24" s="22">
        <f t="shared" si="4"/>
        <v>0</v>
      </c>
      <c r="L24" s="23"/>
    </row>
    <row r="25" spans="1:13" x14ac:dyDescent="0.35">
      <c r="A25" s="13"/>
      <c r="B25" s="18" t="s">
        <v>24</v>
      </c>
      <c r="C25" s="15" t="s">
        <v>23</v>
      </c>
      <c r="D25" s="16">
        <f>D9-D16</f>
        <v>0</v>
      </c>
      <c r="E25" s="16">
        <f t="shared" ref="E25:J25" si="6">E9-E16</f>
        <v>0</v>
      </c>
      <c r="F25" s="16">
        <f t="shared" si="6"/>
        <v>0</v>
      </c>
      <c r="G25" s="16">
        <f t="shared" si="6"/>
        <v>0</v>
      </c>
      <c r="H25" s="16">
        <f t="shared" si="6"/>
        <v>0</v>
      </c>
      <c r="I25" s="16">
        <f t="shared" si="6"/>
        <v>0</v>
      </c>
      <c r="J25" s="16">
        <f t="shared" si="6"/>
        <v>0</v>
      </c>
      <c r="K25" s="16">
        <f t="shared" si="4"/>
        <v>0</v>
      </c>
      <c r="L25" s="17"/>
    </row>
    <row r="26" spans="1:13" x14ac:dyDescent="0.35">
      <c r="A26" s="13"/>
      <c r="B26" s="18" t="s">
        <v>25</v>
      </c>
      <c r="C26" s="15" t="s">
        <v>23</v>
      </c>
      <c r="D26" s="16">
        <f>+D10-D17</f>
        <v>0</v>
      </c>
      <c r="E26" s="16">
        <f t="shared" ref="E26:J29" si="7">+E10-E17</f>
        <v>0</v>
      </c>
      <c r="F26" s="16">
        <f t="shared" si="7"/>
        <v>0</v>
      </c>
      <c r="G26" s="16">
        <f t="shared" si="7"/>
        <v>0</v>
      </c>
      <c r="H26" s="16">
        <f t="shared" si="7"/>
        <v>0</v>
      </c>
      <c r="I26" s="16">
        <f t="shared" si="7"/>
        <v>0</v>
      </c>
      <c r="J26" s="16">
        <f t="shared" si="7"/>
        <v>0</v>
      </c>
      <c r="K26" s="16">
        <f t="shared" si="4"/>
        <v>0</v>
      </c>
      <c r="L26" s="17"/>
    </row>
    <row r="27" spans="1:13" x14ac:dyDescent="0.35">
      <c r="A27" s="13"/>
      <c r="B27" s="18" t="s">
        <v>37</v>
      </c>
      <c r="C27" s="15" t="s">
        <v>23</v>
      </c>
      <c r="D27" s="16">
        <f>+D11-D18</f>
        <v>0</v>
      </c>
      <c r="E27" s="16">
        <f t="shared" si="7"/>
        <v>0</v>
      </c>
      <c r="F27" s="16">
        <f t="shared" si="7"/>
        <v>0</v>
      </c>
      <c r="G27" s="16">
        <f t="shared" si="7"/>
        <v>0</v>
      </c>
      <c r="H27" s="16">
        <f t="shared" si="7"/>
        <v>0</v>
      </c>
      <c r="I27" s="16">
        <f t="shared" si="7"/>
        <v>0</v>
      </c>
      <c r="J27" s="16">
        <f t="shared" si="7"/>
        <v>0</v>
      </c>
      <c r="K27" s="16">
        <f t="shared" si="4"/>
        <v>0</v>
      </c>
      <c r="L27" s="17"/>
    </row>
    <row r="28" spans="1:13" x14ac:dyDescent="0.35">
      <c r="A28" s="13"/>
      <c r="B28" s="18" t="s">
        <v>38</v>
      </c>
      <c r="C28" s="15" t="s">
        <v>23</v>
      </c>
      <c r="D28" s="16">
        <f>+D12-D19</f>
        <v>0</v>
      </c>
      <c r="E28" s="16">
        <f t="shared" si="7"/>
        <v>0</v>
      </c>
      <c r="F28" s="16">
        <f t="shared" si="7"/>
        <v>0</v>
      </c>
      <c r="G28" s="16">
        <f t="shared" si="7"/>
        <v>0</v>
      </c>
      <c r="H28" s="16">
        <f t="shared" si="7"/>
        <v>0</v>
      </c>
      <c r="I28" s="16">
        <f t="shared" si="7"/>
        <v>0</v>
      </c>
      <c r="J28" s="16">
        <f t="shared" si="7"/>
        <v>0</v>
      </c>
      <c r="K28" s="16">
        <f t="shared" si="4"/>
        <v>0</v>
      </c>
      <c r="L28" s="17"/>
    </row>
    <row r="29" spans="1:13" x14ac:dyDescent="0.35">
      <c r="A29" s="13"/>
      <c r="B29" s="18" t="s">
        <v>39</v>
      </c>
      <c r="C29" s="15" t="s">
        <v>23</v>
      </c>
      <c r="D29" s="16">
        <f>+D13-D20</f>
        <v>0</v>
      </c>
      <c r="E29" s="16">
        <f t="shared" si="7"/>
        <v>0</v>
      </c>
      <c r="F29" s="16">
        <f t="shared" si="7"/>
        <v>0</v>
      </c>
      <c r="G29" s="16">
        <f t="shared" si="7"/>
        <v>0</v>
      </c>
      <c r="H29" s="16">
        <f t="shared" si="7"/>
        <v>0</v>
      </c>
      <c r="I29" s="16">
        <f t="shared" si="7"/>
        <v>0</v>
      </c>
      <c r="J29" s="16">
        <f t="shared" si="7"/>
        <v>0</v>
      </c>
      <c r="K29" s="16">
        <f t="shared" si="4"/>
        <v>0</v>
      </c>
      <c r="L29" s="17"/>
    </row>
    <row r="30" spans="1:13" x14ac:dyDescent="0.35">
      <c r="A30" s="13"/>
      <c r="B30" s="18" t="s">
        <v>40</v>
      </c>
      <c r="C30" s="15" t="s">
        <v>23</v>
      </c>
      <c r="D30" s="16">
        <f>+D23</f>
        <v>0</v>
      </c>
      <c r="E30" s="16">
        <f t="shared" ref="E30:J30" si="8">+E23</f>
        <v>0</v>
      </c>
      <c r="F30" s="16">
        <f t="shared" si="8"/>
        <v>0</v>
      </c>
      <c r="G30" s="16">
        <f t="shared" si="8"/>
        <v>0</v>
      </c>
      <c r="H30" s="16">
        <f t="shared" si="8"/>
        <v>0</v>
      </c>
      <c r="I30" s="16">
        <f t="shared" si="8"/>
        <v>0</v>
      </c>
      <c r="J30" s="16">
        <f t="shared" si="8"/>
        <v>0</v>
      </c>
      <c r="K30" s="16">
        <f t="shared" si="4"/>
        <v>0</v>
      </c>
      <c r="L30" s="17"/>
    </row>
    <row r="31" spans="1:13" ht="15.75" customHeight="1" x14ac:dyDescent="0.35">
      <c r="A31" s="19"/>
      <c r="B31" s="18" t="s">
        <v>34</v>
      </c>
      <c r="C31" s="15" t="s">
        <v>23</v>
      </c>
      <c r="D31" s="16">
        <f>+D23</f>
        <v>0</v>
      </c>
      <c r="E31" s="16">
        <f t="shared" ref="E31:J31" si="9">+E23</f>
        <v>0</v>
      </c>
      <c r="F31" s="16">
        <f t="shared" si="9"/>
        <v>0</v>
      </c>
      <c r="G31" s="16">
        <f t="shared" si="9"/>
        <v>0</v>
      </c>
      <c r="H31" s="16">
        <f t="shared" si="9"/>
        <v>0</v>
      </c>
      <c r="I31" s="16">
        <f t="shared" si="9"/>
        <v>0</v>
      </c>
      <c r="J31" s="16">
        <f t="shared" si="9"/>
        <v>0</v>
      </c>
      <c r="K31" s="16">
        <f t="shared" si="4"/>
        <v>0</v>
      </c>
      <c r="L31" s="17"/>
    </row>
    <row r="32" spans="1:13" ht="28.5" customHeight="1" x14ac:dyDescent="0.35">
      <c r="A32" s="433" t="s">
        <v>41</v>
      </c>
      <c r="B32" s="434" t="s">
        <v>484</v>
      </c>
      <c r="C32" s="435"/>
      <c r="D32" s="436"/>
      <c r="E32" s="436"/>
      <c r="F32" s="436"/>
      <c r="G32" s="436"/>
      <c r="H32" s="436"/>
      <c r="I32" s="436"/>
      <c r="J32" s="436"/>
      <c r="K32" s="432"/>
      <c r="L32" s="437"/>
      <c r="M32" s="141" t="s">
        <v>485</v>
      </c>
    </row>
    <row r="33" spans="1:13" ht="74.25" customHeight="1" x14ac:dyDescent="0.35">
      <c r="A33" s="13" t="s">
        <v>21</v>
      </c>
      <c r="B33" s="14" t="s">
        <v>22</v>
      </c>
      <c r="C33" s="15" t="s">
        <v>23</v>
      </c>
      <c r="D33" s="16">
        <f t="shared" ref="D33:J33" si="10">SUM(D34:D37)</f>
        <v>0</v>
      </c>
      <c r="E33" s="16">
        <f t="shared" si="10"/>
        <v>0</v>
      </c>
      <c r="F33" s="16">
        <f t="shared" si="10"/>
        <v>0</v>
      </c>
      <c r="G33" s="16">
        <f t="shared" si="10"/>
        <v>0</v>
      </c>
      <c r="H33" s="16">
        <f t="shared" si="10"/>
        <v>0</v>
      </c>
      <c r="I33" s="16">
        <f t="shared" si="10"/>
        <v>0</v>
      </c>
      <c r="J33" s="16">
        <f t="shared" si="10"/>
        <v>0</v>
      </c>
      <c r="K33" s="16">
        <f t="shared" ref="K33:K49" si="11">SUM(D33:J33)</f>
        <v>0</v>
      </c>
      <c r="L33" s="17"/>
      <c r="M33" s="812"/>
    </row>
    <row r="34" spans="1:13" x14ac:dyDescent="0.35">
      <c r="A34" s="13"/>
      <c r="B34" s="18" t="s">
        <v>489</v>
      </c>
      <c r="C34" s="15" t="s">
        <v>23</v>
      </c>
      <c r="D34" s="16"/>
      <c r="E34" s="16"/>
      <c r="F34" s="16"/>
      <c r="G34" s="16"/>
      <c r="H34" s="16"/>
      <c r="I34" s="16"/>
      <c r="J34" s="16"/>
      <c r="K34" s="16">
        <f t="shared" si="11"/>
        <v>0</v>
      </c>
      <c r="L34" s="17"/>
      <c r="M34" s="812"/>
    </row>
    <row r="35" spans="1:13" ht="19.5" customHeight="1" x14ac:dyDescent="0.35">
      <c r="A35" s="13"/>
      <c r="B35" s="18" t="s">
        <v>488</v>
      </c>
      <c r="C35" s="15" t="s">
        <v>23</v>
      </c>
      <c r="D35" s="16"/>
      <c r="E35" s="16"/>
      <c r="F35" s="16"/>
      <c r="G35" s="16"/>
      <c r="H35" s="16"/>
      <c r="I35" s="16"/>
      <c r="J35" s="16"/>
      <c r="K35" s="16">
        <f t="shared" si="11"/>
        <v>0</v>
      </c>
      <c r="L35" s="17"/>
      <c r="M35" s="812"/>
    </row>
    <row r="36" spans="1:13" ht="17.25" customHeight="1" x14ac:dyDescent="0.35">
      <c r="A36" s="13"/>
      <c r="B36" s="18" t="s">
        <v>487</v>
      </c>
      <c r="C36" s="15" t="s">
        <v>23</v>
      </c>
      <c r="D36" s="16"/>
      <c r="E36" s="16"/>
      <c r="F36" s="16"/>
      <c r="G36" s="16"/>
      <c r="H36" s="16"/>
      <c r="I36" s="16"/>
      <c r="J36" s="16"/>
      <c r="K36" s="16">
        <f t="shared" si="11"/>
        <v>0</v>
      </c>
      <c r="L36" s="17"/>
      <c r="M36" s="812"/>
    </row>
    <row r="37" spans="1:13" ht="22.5" customHeight="1" x14ac:dyDescent="0.35">
      <c r="A37" s="13"/>
      <c r="B37" s="18" t="s">
        <v>486</v>
      </c>
      <c r="C37" s="15" t="s">
        <v>23</v>
      </c>
      <c r="D37" s="16"/>
      <c r="E37" s="16"/>
      <c r="F37" s="16"/>
      <c r="G37" s="16"/>
      <c r="H37" s="16"/>
      <c r="I37" s="16"/>
      <c r="J37" s="16"/>
      <c r="K37" s="16">
        <f t="shared" si="11"/>
        <v>0</v>
      </c>
      <c r="L37" s="17"/>
      <c r="M37" s="812"/>
    </row>
    <row r="38" spans="1:13" ht="57" customHeight="1" x14ac:dyDescent="0.35">
      <c r="A38" s="19" t="s">
        <v>30</v>
      </c>
      <c r="B38" s="14" t="s">
        <v>31</v>
      </c>
      <c r="C38" s="15"/>
      <c r="D38" s="16">
        <f t="shared" ref="D38:J38" si="12">SUM(D39:D42)</f>
        <v>0</v>
      </c>
      <c r="E38" s="16">
        <f t="shared" si="12"/>
        <v>0</v>
      </c>
      <c r="F38" s="16">
        <f t="shared" si="12"/>
        <v>0</v>
      </c>
      <c r="G38" s="16">
        <f t="shared" si="12"/>
        <v>0</v>
      </c>
      <c r="H38" s="16">
        <f t="shared" si="12"/>
        <v>0</v>
      </c>
      <c r="I38" s="16">
        <f t="shared" si="12"/>
        <v>0</v>
      </c>
      <c r="J38" s="16">
        <f t="shared" si="12"/>
        <v>0</v>
      </c>
      <c r="K38" s="16">
        <f t="shared" si="11"/>
        <v>0</v>
      </c>
      <c r="L38" s="17"/>
    </row>
    <row r="39" spans="1:13" x14ac:dyDescent="0.35">
      <c r="A39" s="13"/>
      <c r="B39" s="18" t="s">
        <v>489</v>
      </c>
      <c r="C39" s="15" t="s">
        <v>23</v>
      </c>
      <c r="D39" s="16"/>
      <c r="E39" s="16"/>
      <c r="F39" s="16"/>
      <c r="G39" s="16"/>
      <c r="H39" s="16"/>
      <c r="I39" s="16"/>
      <c r="J39" s="16"/>
      <c r="K39" s="16">
        <f t="shared" si="11"/>
        <v>0</v>
      </c>
      <c r="L39" s="17"/>
    </row>
    <row r="40" spans="1:13" x14ac:dyDescent="0.35">
      <c r="A40" s="13"/>
      <c r="B40" s="18" t="s">
        <v>488</v>
      </c>
      <c r="C40" s="15" t="s">
        <v>23</v>
      </c>
      <c r="D40" s="16"/>
      <c r="E40" s="16"/>
      <c r="F40" s="16"/>
      <c r="G40" s="16"/>
      <c r="H40" s="16"/>
      <c r="I40" s="16"/>
      <c r="J40" s="16"/>
      <c r="K40" s="16">
        <f t="shared" si="11"/>
        <v>0</v>
      </c>
      <c r="L40" s="17"/>
    </row>
    <row r="41" spans="1:13" x14ac:dyDescent="0.35">
      <c r="A41" s="13"/>
      <c r="B41" s="18" t="s">
        <v>487</v>
      </c>
      <c r="C41" s="15" t="s">
        <v>23</v>
      </c>
      <c r="D41" s="16"/>
      <c r="E41" s="16"/>
      <c r="F41" s="16"/>
      <c r="G41" s="16"/>
      <c r="H41" s="16"/>
      <c r="I41" s="16"/>
      <c r="J41" s="16"/>
      <c r="K41" s="16">
        <f t="shared" si="11"/>
        <v>0</v>
      </c>
      <c r="L41" s="17"/>
    </row>
    <row r="42" spans="1:13" x14ac:dyDescent="0.35">
      <c r="A42" s="13"/>
      <c r="B42" s="18" t="s">
        <v>486</v>
      </c>
      <c r="C42" s="15" t="s">
        <v>23</v>
      </c>
      <c r="D42" s="16"/>
      <c r="E42" s="16"/>
      <c r="F42" s="16"/>
      <c r="G42" s="16"/>
      <c r="H42" s="16"/>
      <c r="I42" s="16"/>
      <c r="J42" s="16"/>
      <c r="K42" s="16">
        <f t="shared" si="11"/>
        <v>0</v>
      </c>
      <c r="L42" s="17"/>
    </row>
    <row r="43" spans="1:13" ht="54" x14ac:dyDescent="0.35">
      <c r="A43" s="19" t="s">
        <v>32</v>
      </c>
      <c r="B43" s="20" t="s">
        <v>33</v>
      </c>
      <c r="C43" s="15" t="s">
        <v>23</v>
      </c>
      <c r="D43" s="16"/>
      <c r="E43" s="16"/>
      <c r="F43" s="16"/>
      <c r="G43" s="16"/>
      <c r="H43" s="16"/>
      <c r="I43" s="16"/>
      <c r="J43" s="16"/>
      <c r="K43" s="16">
        <f t="shared" si="11"/>
        <v>0</v>
      </c>
      <c r="L43" s="17"/>
    </row>
    <row r="44" spans="1:13" x14ac:dyDescent="0.35">
      <c r="A44" s="19"/>
      <c r="B44" s="18" t="s">
        <v>490</v>
      </c>
      <c r="C44" s="15"/>
      <c r="D44" s="16"/>
      <c r="E44" s="16"/>
      <c r="F44" s="16"/>
      <c r="G44" s="16"/>
      <c r="H44" s="16"/>
      <c r="I44" s="16"/>
      <c r="J44" s="16"/>
      <c r="K44" s="16">
        <f t="shared" si="11"/>
        <v>0</v>
      </c>
      <c r="L44" s="17"/>
    </row>
    <row r="45" spans="1:13" ht="67.5" x14ac:dyDescent="0.35">
      <c r="A45" s="19" t="s">
        <v>35</v>
      </c>
      <c r="B45" s="14" t="s">
        <v>36</v>
      </c>
      <c r="C45" s="21" t="s">
        <v>23</v>
      </c>
      <c r="D45" s="22">
        <f t="shared" ref="D45:J45" si="13">SUM(D46:D49)</f>
        <v>0</v>
      </c>
      <c r="E45" s="22">
        <f t="shared" si="13"/>
        <v>0</v>
      </c>
      <c r="F45" s="22">
        <f t="shared" si="13"/>
        <v>0</v>
      </c>
      <c r="G45" s="22">
        <f t="shared" si="13"/>
        <v>0</v>
      </c>
      <c r="H45" s="22">
        <f t="shared" si="13"/>
        <v>0</v>
      </c>
      <c r="I45" s="22">
        <f t="shared" si="13"/>
        <v>0</v>
      </c>
      <c r="J45" s="22">
        <f t="shared" si="13"/>
        <v>0</v>
      </c>
      <c r="K45" s="22">
        <f t="shared" si="11"/>
        <v>0</v>
      </c>
      <c r="L45" s="23"/>
    </row>
    <row r="46" spans="1:13" x14ac:dyDescent="0.35">
      <c r="A46" s="13"/>
      <c r="B46" s="18" t="s">
        <v>491</v>
      </c>
      <c r="C46" s="15" t="s">
        <v>23</v>
      </c>
      <c r="D46" s="16">
        <f t="shared" ref="D46:J46" si="14">D34-D39</f>
        <v>0</v>
      </c>
      <c r="E46" s="16">
        <f t="shared" si="14"/>
        <v>0</v>
      </c>
      <c r="F46" s="16">
        <f t="shared" si="14"/>
        <v>0</v>
      </c>
      <c r="G46" s="16">
        <f t="shared" si="14"/>
        <v>0</v>
      </c>
      <c r="H46" s="16">
        <f t="shared" si="14"/>
        <v>0</v>
      </c>
      <c r="I46" s="16">
        <f t="shared" si="14"/>
        <v>0</v>
      </c>
      <c r="J46" s="16">
        <f t="shared" si="14"/>
        <v>0</v>
      </c>
      <c r="K46" s="16">
        <f t="shared" si="11"/>
        <v>0</v>
      </c>
      <c r="L46" s="17"/>
    </row>
    <row r="47" spans="1:13" x14ac:dyDescent="0.35">
      <c r="A47" s="13"/>
      <c r="B47" s="18" t="s">
        <v>37</v>
      </c>
      <c r="C47" s="15" t="s">
        <v>23</v>
      </c>
      <c r="D47" s="16">
        <f t="shared" ref="D47:J47" si="15">+D35-D41</f>
        <v>0</v>
      </c>
      <c r="E47" s="16">
        <f t="shared" si="15"/>
        <v>0</v>
      </c>
      <c r="F47" s="16">
        <f t="shared" si="15"/>
        <v>0</v>
      </c>
      <c r="G47" s="16">
        <f t="shared" si="15"/>
        <v>0</v>
      </c>
      <c r="H47" s="16">
        <f t="shared" si="15"/>
        <v>0</v>
      </c>
      <c r="I47" s="16">
        <f t="shared" si="15"/>
        <v>0</v>
      </c>
      <c r="J47" s="16">
        <f t="shared" si="15"/>
        <v>0</v>
      </c>
      <c r="K47" s="16">
        <f t="shared" si="11"/>
        <v>0</v>
      </c>
      <c r="L47" s="17"/>
    </row>
    <row r="48" spans="1:13" x14ac:dyDescent="0.35">
      <c r="A48" s="13"/>
      <c r="B48" s="18" t="s">
        <v>38</v>
      </c>
      <c r="C48" s="15" t="s">
        <v>23</v>
      </c>
      <c r="D48" s="16">
        <f t="shared" ref="D48:J49" si="16">+D35-D41</f>
        <v>0</v>
      </c>
      <c r="E48" s="16">
        <f t="shared" si="16"/>
        <v>0</v>
      </c>
      <c r="F48" s="16">
        <f t="shared" si="16"/>
        <v>0</v>
      </c>
      <c r="G48" s="16">
        <f t="shared" si="16"/>
        <v>0</v>
      </c>
      <c r="H48" s="16">
        <f t="shared" si="16"/>
        <v>0</v>
      </c>
      <c r="I48" s="16">
        <f t="shared" si="16"/>
        <v>0</v>
      </c>
      <c r="J48" s="16">
        <f t="shared" si="16"/>
        <v>0</v>
      </c>
      <c r="K48" s="16">
        <f>SUM(D48:J48)</f>
        <v>0</v>
      </c>
      <c r="L48" s="17"/>
    </row>
    <row r="49" spans="1:12" x14ac:dyDescent="0.35">
      <c r="A49" s="13"/>
      <c r="B49" s="18" t="s">
        <v>39</v>
      </c>
      <c r="C49" s="15" t="s">
        <v>23</v>
      </c>
      <c r="D49" s="16">
        <f t="shared" si="16"/>
        <v>0</v>
      </c>
      <c r="E49" s="16">
        <f t="shared" si="16"/>
        <v>0</v>
      </c>
      <c r="F49" s="16">
        <f t="shared" si="16"/>
        <v>0</v>
      </c>
      <c r="G49" s="16">
        <f t="shared" si="16"/>
        <v>0</v>
      </c>
      <c r="H49" s="16">
        <f t="shared" si="16"/>
        <v>0</v>
      </c>
      <c r="I49" s="16">
        <f t="shared" si="16"/>
        <v>0</v>
      </c>
      <c r="J49" s="16">
        <f t="shared" si="16"/>
        <v>0</v>
      </c>
      <c r="K49" s="16">
        <f t="shared" si="11"/>
        <v>0</v>
      </c>
      <c r="L49" s="17"/>
    </row>
    <row r="50" spans="1:12" ht="28.5" customHeight="1" x14ac:dyDescent="0.35">
      <c r="A50" s="433" t="s">
        <v>70</v>
      </c>
      <c r="B50" s="434" t="s">
        <v>492</v>
      </c>
      <c r="C50" s="435"/>
      <c r="D50" s="436"/>
      <c r="E50" s="436"/>
      <c r="F50" s="436"/>
      <c r="G50" s="436"/>
      <c r="H50" s="436"/>
      <c r="I50" s="436"/>
      <c r="J50" s="436"/>
      <c r="K50" s="432"/>
      <c r="L50" s="437"/>
    </row>
    <row r="51" spans="1:12" ht="67.5" x14ac:dyDescent="0.35">
      <c r="A51" s="13" t="s">
        <v>21</v>
      </c>
      <c r="B51" s="14" t="s">
        <v>22</v>
      </c>
      <c r="C51" s="15" t="s">
        <v>23</v>
      </c>
      <c r="D51" s="16">
        <f t="shared" ref="D51:J51" si="17">SUM(D52:D55)</f>
        <v>0</v>
      </c>
      <c r="E51" s="16">
        <f t="shared" si="17"/>
        <v>0</v>
      </c>
      <c r="F51" s="16">
        <f t="shared" si="17"/>
        <v>0</v>
      </c>
      <c r="G51" s="16">
        <f t="shared" si="17"/>
        <v>0</v>
      </c>
      <c r="H51" s="16">
        <f t="shared" si="17"/>
        <v>0</v>
      </c>
      <c r="I51" s="16">
        <f t="shared" si="17"/>
        <v>0</v>
      </c>
      <c r="J51" s="16">
        <f t="shared" si="17"/>
        <v>0</v>
      </c>
      <c r="K51" s="16">
        <f>SUM(D51:J51)</f>
        <v>0</v>
      </c>
      <c r="L51" s="17"/>
    </row>
    <row r="52" spans="1:12" ht="26" x14ac:dyDescent="0.35">
      <c r="A52" s="13"/>
      <c r="B52" s="18" t="s">
        <v>493</v>
      </c>
      <c r="C52" s="15" t="s">
        <v>23</v>
      </c>
      <c r="D52" s="16"/>
      <c r="E52" s="16"/>
      <c r="F52" s="16"/>
      <c r="G52" s="16"/>
      <c r="H52" s="16"/>
      <c r="I52" s="16"/>
      <c r="J52" s="16"/>
      <c r="K52" s="16">
        <f>SUM(D52:J52)</f>
        <v>0</v>
      </c>
      <c r="L52" s="17"/>
    </row>
    <row r="53" spans="1:12" x14ac:dyDescent="0.35">
      <c r="A53" s="13"/>
      <c r="B53" s="18" t="s">
        <v>27</v>
      </c>
      <c r="C53" s="15" t="s">
        <v>23</v>
      </c>
      <c r="D53" s="16"/>
      <c r="E53" s="16"/>
      <c r="F53" s="16"/>
      <c r="G53" s="16"/>
      <c r="H53" s="16"/>
      <c r="I53" s="16"/>
      <c r="J53" s="16"/>
      <c r="K53" s="16">
        <f>SUM(D53:J53)</f>
        <v>0</v>
      </c>
      <c r="L53" s="17"/>
    </row>
    <row r="54" spans="1:12" x14ac:dyDescent="0.35">
      <c r="A54" s="13"/>
      <c r="B54" s="18" t="s">
        <v>28</v>
      </c>
      <c r="C54" s="15" t="s">
        <v>23</v>
      </c>
      <c r="D54" s="16"/>
      <c r="E54" s="16"/>
      <c r="F54" s="16"/>
      <c r="G54" s="16"/>
      <c r="H54" s="16"/>
      <c r="I54" s="16"/>
      <c r="J54" s="16"/>
      <c r="K54" s="16">
        <f>SUM(D54:J54)</f>
        <v>0</v>
      </c>
      <c r="L54" s="17"/>
    </row>
    <row r="55" spans="1:12" x14ac:dyDescent="0.35">
      <c r="A55" s="13"/>
      <c r="B55" s="18" t="s">
        <v>29</v>
      </c>
      <c r="C55" s="15" t="s">
        <v>23</v>
      </c>
      <c r="D55" s="16"/>
      <c r="E55" s="16"/>
      <c r="F55" s="16"/>
      <c r="G55" s="16"/>
      <c r="H55" s="16"/>
      <c r="I55" s="16"/>
      <c r="J55" s="16"/>
      <c r="K55" s="16"/>
      <c r="L55" s="17"/>
    </row>
    <row r="56" spans="1:12" ht="54" x14ac:dyDescent="0.35">
      <c r="A56" s="19" t="s">
        <v>30</v>
      </c>
      <c r="B56" s="14" t="s">
        <v>31</v>
      </c>
      <c r="C56" s="15"/>
      <c r="D56" s="16">
        <f>SUM(D57:D60)</f>
        <v>0</v>
      </c>
      <c r="E56" s="16">
        <f t="shared" ref="E56:J56" si="18">SUM(E57:E60)</f>
        <v>0</v>
      </c>
      <c r="F56" s="16"/>
      <c r="G56" s="16">
        <f t="shared" si="18"/>
        <v>0</v>
      </c>
      <c r="H56" s="16">
        <f t="shared" si="18"/>
        <v>0</v>
      </c>
      <c r="I56" s="16">
        <f t="shared" si="18"/>
        <v>0</v>
      </c>
      <c r="J56" s="16">
        <f t="shared" si="18"/>
        <v>0</v>
      </c>
      <c r="K56" s="16">
        <f>SUM(D56:J56)</f>
        <v>0</v>
      </c>
      <c r="L56" s="17"/>
    </row>
    <row r="57" spans="1:12" ht="26" x14ac:dyDescent="0.35">
      <c r="A57" s="13"/>
      <c r="B57" s="18" t="s">
        <v>493</v>
      </c>
      <c r="C57" s="15" t="s">
        <v>23</v>
      </c>
      <c r="D57" s="16"/>
      <c r="E57" s="16"/>
      <c r="F57" s="16"/>
      <c r="G57" s="16"/>
      <c r="H57" s="16"/>
      <c r="I57" s="16"/>
      <c r="J57" s="16"/>
      <c r="K57" s="16">
        <f>SUM(D57:J57)</f>
        <v>0</v>
      </c>
      <c r="L57" s="17"/>
    </row>
    <row r="58" spans="1:12" x14ac:dyDescent="0.35">
      <c r="A58" s="13"/>
      <c r="B58" s="18" t="s">
        <v>27</v>
      </c>
      <c r="C58" s="15" t="s">
        <v>23</v>
      </c>
      <c r="D58" s="16"/>
      <c r="E58" s="16"/>
      <c r="F58" s="16"/>
      <c r="G58" s="16"/>
      <c r="H58" s="16"/>
      <c r="I58" s="16"/>
      <c r="J58" s="16"/>
      <c r="K58" s="16">
        <f>SUM(D58:J58)</f>
        <v>0</v>
      </c>
      <c r="L58" s="17"/>
    </row>
    <row r="59" spans="1:12" x14ac:dyDescent="0.35">
      <c r="A59" s="13"/>
      <c r="B59" s="18" t="s">
        <v>28</v>
      </c>
      <c r="C59" s="15" t="s">
        <v>23</v>
      </c>
      <c r="D59" s="16"/>
      <c r="E59" s="16"/>
      <c r="F59" s="16"/>
      <c r="G59" s="16"/>
      <c r="H59" s="16"/>
      <c r="I59" s="16"/>
      <c r="J59" s="16"/>
      <c r="K59" s="16">
        <f>SUM(D59:J59)</f>
        <v>0</v>
      </c>
      <c r="L59" s="17"/>
    </row>
    <row r="60" spans="1:12" x14ac:dyDescent="0.35">
      <c r="A60" s="13"/>
      <c r="B60" s="18" t="s">
        <v>29</v>
      </c>
      <c r="C60" s="15" t="s">
        <v>23</v>
      </c>
      <c r="D60" s="16"/>
      <c r="E60" s="16"/>
      <c r="F60" s="16"/>
      <c r="G60" s="16"/>
      <c r="H60" s="16"/>
      <c r="I60" s="16"/>
      <c r="J60" s="16"/>
      <c r="K60" s="16"/>
      <c r="L60" s="17"/>
    </row>
    <row r="61" spans="1:12" ht="54" x14ac:dyDescent="0.35">
      <c r="A61" s="19" t="s">
        <v>32</v>
      </c>
      <c r="B61" s="20" t="s">
        <v>33</v>
      </c>
      <c r="C61" s="15" t="s">
        <v>23</v>
      </c>
      <c r="D61" s="16"/>
      <c r="E61" s="16"/>
      <c r="F61" s="16"/>
      <c r="G61" s="16"/>
      <c r="H61" s="16"/>
      <c r="I61" s="16"/>
      <c r="J61" s="16"/>
      <c r="K61" s="16">
        <f t="shared" ref="K61:K67" si="19">SUM(D61:J61)</f>
        <v>0</v>
      </c>
      <c r="L61" s="17"/>
    </row>
    <row r="62" spans="1:12" ht="61.5" customHeight="1" x14ac:dyDescent="0.35">
      <c r="A62" s="19"/>
      <c r="B62" s="18" t="s">
        <v>224</v>
      </c>
      <c r="C62" s="15"/>
      <c r="D62" s="16"/>
      <c r="E62" s="16"/>
      <c r="F62" s="16"/>
      <c r="G62" s="16"/>
      <c r="H62" s="16"/>
      <c r="I62" s="16"/>
      <c r="J62" s="16"/>
      <c r="K62" s="16">
        <f t="shared" si="19"/>
        <v>0</v>
      </c>
      <c r="L62" s="17"/>
    </row>
    <row r="63" spans="1:12" ht="67.5" x14ac:dyDescent="0.35">
      <c r="A63" s="19" t="s">
        <v>35</v>
      </c>
      <c r="B63" s="14" t="s">
        <v>36</v>
      </c>
      <c r="C63" s="21" t="s">
        <v>23</v>
      </c>
      <c r="D63" s="22">
        <f>SUM(D64:D67)</f>
        <v>0</v>
      </c>
      <c r="E63" s="22">
        <f t="shared" ref="E63:J63" si="20">SUM(E64:E67)</f>
        <v>0</v>
      </c>
      <c r="F63" s="22">
        <f t="shared" si="20"/>
        <v>0</v>
      </c>
      <c r="G63" s="22">
        <f t="shared" si="20"/>
        <v>0</v>
      </c>
      <c r="H63" s="22">
        <f t="shared" si="20"/>
        <v>0</v>
      </c>
      <c r="I63" s="22">
        <f t="shared" si="20"/>
        <v>0</v>
      </c>
      <c r="J63" s="22">
        <f t="shared" si="20"/>
        <v>0</v>
      </c>
      <c r="K63" s="22">
        <f t="shared" si="19"/>
        <v>0</v>
      </c>
      <c r="L63" s="23"/>
    </row>
    <row r="64" spans="1:12" ht="26" x14ac:dyDescent="0.35">
      <c r="A64" s="13"/>
      <c r="B64" s="18" t="s">
        <v>494</v>
      </c>
      <c r="C64" s="15" t="s">
        <v>23</v>
      </c>
      <c r="D64" s="16"/>
      <c r="E64" s="16"/>
      <c r="F64" s="16"/>
      <c r="G64" s="16"/>
      <c r="H64" s="16"/>
      <c r="I64" s="16"/>
      <c r="J64" s="16"/>
      <c r="K64" s="16">
        <f t="shared" si="19"/>
        <v>0</v>
      </c>
      <c r="L64" s="17"/>
    </row>
    <row r="65" spans="1:12" x14ac:dyDescent="0.35">
      <c r="A65" s="13"/>
      <c r="B65" s="18" t="s">
        <v>28</v>
      </c>
      <c r="C65" s="15" t="s">
        <v>23</v>
      </c>
      <c r="D65" s="16"/>
      <c r="E65" s="16"/>
      <c r="F65" s="16"/>
      <c r="G65" s="16"/>
      <c r="H65" s="16"/>
      <c r="I65" s="16"/>
      <c r="J65" s="16"/>
      <c r="K65" s="16">
        <f t="shared" si="19"/>
        <v>0</v>
      </c>
      <c r="L65" s="17"/>
    </row>
    <row r="66" spans="1:12" x14ac:dyDescent="0.35">
      <c r="A66" s="13"/>
      <c r="B66" s="18" t="s">
        <v>29</v>
      </c>
      <c r="C66" s="15" t="s">
        <v>23</v>
      </c>
      <c r="D66" s="16"/>
      <c r="E66" s="16"/>
      <c r="F66" s="16"/>
      <c r="G66" s="16"/>
      <c r="H66" s="16"/>
      <c r="I66" s="16"/>
      <c r="J66" s="16"/>
      <c r="K66" s="16"/>
      <c r="L66" s="17"/>
    </row>
    <row r="67" spans="1:12" ht="15.75" customHeight="1" x14ac:dyDescent="0.35">
      <c r="A67" s="19"/>
      <c r="B67" s="18" t="s">
        <v>34</v>
      </c>
      <c r="C67" s="15" t="s">
        <v>23</v>
      </c>
      <c r="D67" s="16">
        <f>+D62</f>
        <v>0</v>
      </c>
      <c r="E67" s="16">
        <f t="shared" ref="E67:J67" si="21">+E62</f>
        <v>0</v>
      </c>
      <c r="F67" s="16">
        <f t="shared" si="21"/>
        <v>0</v>
      </c>
      <c r="G67" s="16">
        <f t="shared" si="21"/>
        <v>0</v>
      </c>
      <c r="H67" s="16">
        <f t="shared" si="21"/>
        <v>0</v>
      </c>
      <c r="I67" s="16">
        <f t="shared" si="21"/>
        <v>0</v>
      </c>
      <c r="J67" s="16">
        <f t="shared" si="21"/>
        <v>0</v>
      </c>
      <c r="K67" s="16">
        <f t="shared" si="19"/>
        <v>0</v>
      </c>
      <c r="L67" s="17"/>
    </row>
    <row r="68" spans="1:12" ht="28.5" customHeight="1" x14ac:dyDescent="0.35">
      <c r="A68" s="433" t="s">
        <v>272</v>
      </c>
      <c r="B68" s="434" t="s">
        <v>495</v>
      </c>
      <c r="C68" s="435"/>
      <c r="D68" s="436"/>
      <c r="E68" s="436"/>
      <c r="F68" s="436"/>
      <c r="G68" s="436"/>
      <c r="H68" s="436"/>
      <c r="I68" s="436"/>
      <c r="J68" s="436"/>
      <c r="K68" s="432"/>
      <c r="L68" s="437"/>
    </row>
    <row r="69" spans="1:12" ht="67.5" x14ac:dyDescent="0.35">
      <c r="A69" s="13" t="s">
        <v>21</v>
      </c>
      <c r="B69" s="14" t="s">
        <v>22</v>
      </c>
      <c r="C69" s="15" t="s">
        <v>23</v>
      </c>
      <c r="D69" s="16">
        <f t="shared" ref="D69:J69" si="22">SUM(D70:D73)</f>
        <v>0</v>
      </c>
      <c r="E69" s="16">
        <f t="shared" si="22"/>
        <v>0</v>
      </c>
      <c r="F69" s="16">
        <f t="shared" si="22"/>
        <v>0</v>
      </c>
      <c r="G69" s="16">
        <f t="shared" si="22"/>
        <v>0</v>
      </c>
      <c r="H69" s="16">
        <f t="shared" si="22"/>
        <v>0</v>
      </c>
      <c r="I69" s="16">
        <f t="shared" si="22"/>
        <v>0</v>
      </c>
      <c r="J69" s="16">
        <f t="shared" si="22"/>
        <v>0</v>
      </c>
      <c r="K69" s="16">
        <f>SUM(D69:J69)</f>
        <v>0</v>
      </c>
      <c r="L69" s="17"/>
    </row>
    <row r="70" spans="1:12" ht="26" x14ac:dyDescent="0.35">
      <c r="A70" s="13"/>
      <c r="B70" s="18" t="s">
        <v>493</v>
      </c>
      <c r="C70" s="15" t="s">
        <v>23</v>
      </c>
      <c r="D70" s="16"/>
      <c r="E70" s="16"/>
      <c r="F70" s="16"/>
      <c r="G70" s="16"/>
      <c r="H70" s="16"/>
      <c r="I70" s="16"/>
      <c r="J70" s="16"/>
      <c r="K70" s="16">
        <f>SUM(D70:J70)</f>
        <v>0</v>
      </c>
      <c r="L70" s="17"/>
    </row>
    <row r="71" spans="1:12" x14ac:dyDescent="0.35">
      <c r="A71" s="13"/>
      <c r="B71" s="18" t="s">
        <v>27</v>
      </c>
      <c r="C71" s="15" t="s">
        <v>23</v>
      </c>
      <c r="D71" s="16"/>
      <c r="E71" s="16"/>
      <c r="F71" s="16"/>
      <c r="G71" s="16"/>
      <c r="H71" s="16"/>
      <c r="I71" s="16"/>
      <c r="J71" s="16"/>
      <c r="K71" s="16">
        <f>SUM(D71:J71)</f>
        <v>0</v>
      </c>
      <c r="L71" s="17"/>
    </row>
    <row r="72" spans="1:12" x14ac:dyDescent="0.35">
      <c r="A72" s="13"/>
      <c r="B72" s="18" t="s">
        <v>28</v>
      </c>
      <c r="C72" s="15" t="s">
        <v>23</v>
      </c>
      <c r="D72" s="16"/>
      <c r="E72" s="16"/>
      <c r="F72" s="16"/>
      <c r="G72" s="16"/>
      <c r="H72" s="16"/>
      <c r="I72" s="16"/>
      <c r="J72" s="16"/>
      <c r="K72" s="16">
        <f>SUM(D72:J72)</f>
        <v>0</v>
      </c>
      <c r="L72" s="17"/>
    </row>
    <row r="73" spans="1:12" x14ac:dyDescent="0.35">
      <c r="A73" s="13"/>
      <c r="B73" s="18" t="s">
        <v>29</v>
      </c>
      <c r="C73" s="15" t="s">
        <v>23</v>
      </c>
      <c r="D73" s="16"/>
      <c r="E73" s="16"/>
      <c r="F73" s="16"/>
      <c r="G73" s="16"/>
      <c r="H73" s="16"/>
      <c r="I73" s="16"/>
      <c r="J73" s="16"/>
      <c r="K73" s="16"/>
      <c r="L73" s="17"/>
    </row>
    <row r="74" spans="1:12" ht="54" x14ac:dyDescent="0.35">
      <c r="A74" s="19" t="s">
        <v>30</v>
      </c>
      <c r="B74" s="14" t="s">
        <v>31</v>
      </c>
      <c r="C74" s="15"/>
      <c r="D74" s="16">
        <f>SUM(D75:D78)</f>
        <v>0</v>
      </c>
      <c r="E74" s="16">
        <f t="shared" ref="E74:J74" si="23">SUM(E75:E78)</f>
        <v>0</v>
      </c>
      <c r="F74" s="16">
        <f t="shared" si="23"/>
        <v>0</v>
      </c>
      <c r="G74" s="16">
        <f t="shared" si="23"/>
        <v>0</v>
      </c>
      <c r="H74" s="16">
        <f t="shared" si="23"/>
        <v>0</v>
      </c>
      <c r="I74" s="16">
        <f t="shared" si="23"/>
        <v>0</v>
      </c>
      <c r="J74" s="16">
        <f t="shared" si="23"/>
        <v>0</v>
      </c>
      <c r="K74" s="16">
        <f>SUM(D74:J74)</f>
        <v>0</v>
      </c>
      <c r="L74" s="17"/>
    </row>
    <row r="75" spans="1:12" ht="26" x14ac:dyDescent="0.35">
      <c r="A75" s="13"/>
      <c r="B75" s="18" t="s">
        <v>493</v>
      </c>
      <c r="C75" s="15" t="s">
        <v>23</v>
      </c>
      <c r="D75" s="16"/>
      <c r="E75" s="16"/>
      <c r="F75" s="16"/>
      <c r="G75" s="16"/>
      <c r="H75" s="16"/>
      <c r="I75" s="16"/>
      <c r="J75" s="16"/>
      <c r="K75" s="16">
        <f>SUM(D75:J75)</f>
        <v>0</v>
      </c>
      <c r="L75" s="17"/>
    </row>
    <row r="76" spans="1:12" x14ac:dyDescent="0.35">
      <c r="A76" s="13"/>
      <c r="B76" s="18" t="s">
        <v>27</v>
      </c>
      <c r="C76" s="15" t="s">
        <v>23</v>
      </c>
      <c r="D76" s="16"/>
      <c r="E76" s="16"/>
      <c r="F76" s="16"/>
      <c r="G76" s="16"/>
      <c r="H76" s="16"/>
      <c r="I76" s="16"/>
      <c r="J76" s="16"/>
      <c r="K76" s="16">
        <f>SUM(D76:J76)</f>
        <v>0</v>
      </c>
      <c r="L76" s="17"/>
    </row>
    <row r="77" spans="1:12" x14ac:dyDescent="0.35">
      <c r="A77" s="13"/>
      <c r="B77" s="18" t="s">
        <v>28</v>
      </c>
      <c r="C77" s="15" t="s">
        <v>23</v>
      </c>
      <c r="D77" s="16"/>
      <c r="E77" s="16"/>
      <c r="F77" s="16"/>
      <c r="G77" s="16"/>
      <c r="H77" s="16"/>
      <c r="I77" s="16"/>
      <c r="J77" s="16"/>
      <c r="K77" s="16">
        <f>SUM(D77:J77)</f>
        <v>0</v>
      </c>
      <c r="L77" s="17"/>
    </row>
    <row r="78" spans="1:12" x14ac:dyDescent="0.35">
      <c r="A78" s="13"/>
      <c r="B78" s="18" t="s">
        <v>29</v>
      </c>
      <c r="C78" s="15" t="s">
        <v>23</v>
      </c>
      <c r="D78" s="16"/>
      <c r="E78" s="16"/>
      <c r="F78" s="16"/>
      <c r="G78" s="16"/>
      <c r="H78" s="16"/>
      <c r="I78" s="16"/>
      <c r="J78" s="16"/>
      <c r="K78" s="16"/>
      <c r="L78" s="17"/>
    </row>
    <row r="79" spans="1:12" ht="54" x14ac:dyDescent="0.35">
      <c r="A79" s="19" t="s">
        <v>32</v>
      </c>
      <c r="B79" s="20" t="s">
        <v>33</v>
      </c>
      <c r="C79" s="15" t="s">
        <v>23</v>
      </c>
      <c r="D79" s="16"/>
      <c r="E79" s="16"/>
      <c r="F79" s="16"/>
      <c r="G79" s="16"/>
      <c r="H79" s="16"/>
      <c r="I79" s="16"/>
      <c r="J79" s="16"/>
      <c r="K79" s="16">
        <f>SUM(D79:J79)</f>
        <v>0</v>
      </c>
      <c r="L79" s="17"/>
    </row>
    <row r="80" spans="1:12" ht="61.5" customHeight="1" x14ac:dyDescent="0.35">
      <c r="A80" s="19"/>
      <c r="B80" s="18" t="s">
        <v>224</v>
      </c>
      <c r="C80" s="15"/>
      <c r="D80" s="16"/>
      <c r="E80" s="16"/>
      <c r="F80" s="16"/>
      <c r="G80" s="16"/>
      <c r="H80" s="16"/>
      <c r="I80" s="16"/>
      <c r="J80" s="16"/>
      <c r="K80" s="16">
        <f>SUM(D80:J80)</f>
        <v>0</v>
      </c>
      <c r="L80" s="17"/>
    </row>
    <row r="81" spans="1:12" ht="67.5" x14ac:dyDescent="0.35">
      <c r="A81" s="19" t="s">
        <v>35</v>
      </c>
      <c r="B81" s="14" t="s">
        <v>36</v>
      </c>
      <c r="C81" s="21" t="s">
        <v>23</v>
      </c>
      <c r="D81" s="22">
        <f>SUM(D82:D85)</f>
        <v>0</v>
      </c>
      <c r="E81" s="22">
        <f t="shared" ref="E81:J81" si="24">SUM(E82:E85)</f>
        <v>0</v>
      </c>
      <c r="F81" s="22">
        <f t="shared" si="24"/>
        <v>0</v>
      </c>
      <c r="G81" s="22">
        <f t="shared" si="24"/>
        <v>0</v>
      </c>
      <c r="H81" s="22">
        <f t="shared" si="24"/>
        <v>0</v>
      </c>
      <c r="I81" s="22">
        <f t="shared" si="24"/>
        <v>0</v>
      </c>
      <c r="J81" s="22">
        <f t="shared" si="24"/>
        <v>0</v>
      </c>
      <c r="K81" s="22">
        <f>SUM(D81:J81)</f>
        <v>0</v>
      </c>
      <c r="L81" s="23"/>
    </row>
    <row r="82" spans="1:12" ht="26" x14ac:dyDescent="0.35">
      <c r="A82" s="13"/>
      <c r="B82" s="18" t="s">
        <v>494</v>
      </c>
      <c r="C82" s="15" t="s">
        <v>23</v>
      </c>
      <c r="D82" s="16"/>
      <c r="E82" s="16"/>
      <c r="F82" s="16"/>
      <c r="G82" s="16"/>
      <c r="H82" s="16"/>
      <c r="I82" s="16"/>
      <c r="J82" s="16"/>
      <c r="K82" s="16">
        <f>SUM(D82:J82)</f>
        <v>0</v>
      </c>
      <c r="L82" s="17"/>
    </row>
    <row r="83" spans="1:12" x14ac:dyDescent="0.35">
      <c r="A83" s="13"/>
      <c r="B83" s="18" t="s">
        <v>28</v>
      </c>
      <c r="C83" s="15" t="s">
        <v>23</v>
      </c>
      <c r="D83" s="16"/>
      <c r="E83" s="16"/>
      <c r="F83" s="16"/>
      <c r="G83" s="16"/>
      <c r="H83" s="16"/>
      <c r="I83" s="16"/>
      <c r="J83" s="16"/>
      <c r="K83" s="16">
        <f>SUM(D83:J83)</f>
        <v>0</v>
      </c>
      <c r="L83" s="17"/>
    </row>
    <row r="84" spans="1:12" x14ac:dyDescent="0.35">
      <c r="A84" s="13"/>
      <c r="B84" s="18" t="s">
        <v>29</v>
      </c>
      <c r="C84" s="15" t="s">
        <v>23</v>
      </c>
      <c r="D84" s="16"/>
      <c r="E84" s="16"/>
      <c r="F84" s="16"/>
      <c r="G84" s="16"/>
      <c r="H84" s="16"/>
      <c r="I84" s="16"/>
      <c r="J84" s="16"/>
      <c r="K84" s="16"/>
      <c r="L84" s="17"/>
    </row>
    <row r="85" spans="1:12" ht="15.75" customHeight="1" x14ac:dyDescent="0.35">
      <c r="A85" s="19"/>
      <c r="B85" s="18" t="s">
        <v>34</v>
      </c>
      <c r="C85" s="15" t="s">
        <v>23</v>
      </c>
      <c r="D85" s="16">
        <f>+D80</f>
        <v>0</v>
      </c>
      <c r="E85" s="16">
        <f t="shared" ref="E85:J85" si="25">+E80</f>
        <v>0</v>
      </c>
      <c r="F85" s="16">
        <f t="shared" si="25"/>
        <v>0</v>
      </c>
      <c r="G85" s="16">
        <f t="shared" si="25"/>
        <v>0</v>
      </c>
      <c r="H85" s="16">
        <f t="shared" si="25"/>
        <v>0</v>
      </c>
      <c r="I85" s="16">
        <f t="shared" si="25"/>
        <v>0</v>
      </c>
      <c r="J85" s="16">
        <f t="shared" si="25"/>
        <v>0</v>
      </c>
      <c r="K85" s="16">
        <f>SUM(D85:J85)</f>
        <v>0</v>
      </c>
      <c r="L85" s="17"/>
    </row>
    <row r="86" spans="1:12" ht="23.25" customHeight="1" x14ac:dyDescent="0.35">
      <c r="A86" s="433" t="s">
        <v>272</v>
      </c>
      <c r="B86" s="434" t="s">
        <v>497</v>
      </c>
      <c r="C86" s="435"/>
      <c r="D86" s="436"/>
      <c r="E86" s="436"/>
      <c r="F86" s="436"/>
      <c r="G86" s="436"/>
      <c r="H86" s="436"/>
      <c r="I86" s="436"/>
      <c r="J86" s="436"/>
      <c r="K86" s="432"/>
      <c r="L86" s="437"/>
    </row>
    <row r="87" spans="1:12" ht="67.5" x14ac:dyDescent="0.35">
      <c r="A87" s="13" t="s">
        <v>21</v>
      </c>
      <c r="B87" s="14" t="s">
        <v>22</v>
      </c>
      <c r="C87" s="15" t="s">
        <v>23</v>
      </c>
      <c r="D87" s="16">
        <f t="shared" ref="D87:J87" si="26">SUM(D88:D92)</f>
        <v>0</v>
      </c>
      <c r="E87" s="16">
        <f t="shared" si="26"/>
        <v>0</v>
      </c>
      <c r="F87" s="16">
        <f t="shared" si="26"/>
        <v>0</v>
      </c>
      <c r="G87" s="16">
        <f t="shared" si="26"/>
        <v>0</v>
      </c>
      <c r="H87" s="16">
        <f t="shared" si="26"/>
        <v>0</v>
      </c>
      <c r="I87" s="16">
        <f t="shared" si="26"/>
        <v>0</v>
      </c>
      <c r="J87" s="16">
        <f t="shared" si="26"/>
        <v>0</v>
      </c>
      <c r="K87" s="16">
        <f>SUM(D87:J87)</f>
        <v>0</v>
      </c>
      <c r="L87" s="17"/>
    </row>
    <row r="88" spans="1:12" ht="26" x14ac:dyDescent="0.35">
      <c r="A88" s="13"/>
      <c r="B88" s="18" t="s">
        <v>496</v>
      </c>
      <c r="C88" s="15" t="s">
        <v>23</v>
      </c>
      <c r="D88" s="16"/>
      <c r="E88" s="16"/>
      <c r="F88" s="16"/>
      <c r="G88" s="16"/>
      <c r="H88" s="16"/>
      <c r="I88" s="16"/>
      <c r="J88" s="16"/>
      <c r="K88" s="16">
        <f>SUM(D88:J88)</f>
        <v>0</v>
      </c>
      <c r="L88" s="17"/>
    </row>
    <row r="89" spans="1:12" x14ac:dyDescent="0.35">
      <c r="A89" s="13"/>
      <c r="B89" s="18" t="s">
        <v>26</v>
      </c>
      <c r="C89" s="15" t="s">
        <v>23</v>
      </c>
      <c r="D89" s="16"/>
      <c r="E89" s="16"/>
      <c r="F89" s="16"/>
      <c r="G89" s="16"/>
      <c r="H89" s="16"/>
      <c r="I89" s="16"/>
      <c r="J89" s="16"/>
      <c r="K89" s="16">
        <f>SUM(D89:J89)</f>
        <v>0</v>
      </c>
      <c r="L89" s="17"/>
    </row>
    <row r="90" spans="1:12" x14ac:dyDescent="0.35">
      <c r="A90" s="13"/>
      <c r="B90" s="18" t="s">
        <v>27</v>
      </c>
      <c r="C90" s="15" t="s">
        <v>23</v>
      </c>
      <c r="D90" s="16"/>
      <c r="E90" s="16"/>
      <c r="F90" s="16"/>
      <c r="G90" s="16"/>
      <c r="H90" s="16"/>
      <c r="I90" s="16"/>
      <c r="J90" s="16"/>
      <c r="K90" s="16">
        <f>SUM(D90:J90)</f>
        <v>0</v>
      </c>
      <c r="L90" s="17"/>
    </row>
    <row r="91" spans="1:12" x14ac:dyDescent="0.35">
      <c r="A91" s="13"/>
      <c r="B91" s="18" t="s">
        <v>28</v>
      </c>
      <c r="C91" s="15" t="s">
        <v>23</v>
      </c>
      <c r="D91" s="16"/>
      <c r="E91" s="16"/>
      <c r="F91" s="16"/>
      <c r="G91" s="16"/>
      <c r="H91" s="16"/>
      <c r="I91" s="16"/>
      <c r="J91" s="16"/>
      <c r="K91" s="16">
        <f>SUM(D91:J91)</f>
        <v>0</v>
      </c>
      <c r="L91" s="17"/>
    </row>
    <row r="92" spans="1:12" x14ac:dyDescent="0.35">
      <c r="A92" s="13"/>
      <c r="B92" s="18" t="s">
        <v>29</v>
      </c>
      <c r="C92" s="15" t="s">
        <v>23</v>
      </c>
      <c r="D92" s="16"/>
      <c r="E92" s="16"/>
      <c r="F92" s="16"/>
      <c r="G92" s="16"/>
      <c r="H92" s="16"/>
      <c r="I92" s="16"/>
      <c r="J92" s="16"/>
      <c r="K92" s="16"/>
      <c r="L92" s="17"/>
    </row>
    <row r="93" spans="1:12" ht="54" x14ac:dyDescent="0.35">
      <c r="A93" s="19" t="s">
        <v>30</v>
      </c>
      <c r="B93" s="14" t="s">
        <v>31</v>
      </c>
      <c r="C93" s="15"/>
      <c r="D93" s="16">
        <f t="shared" ref="D93:J93" si="27">SUM(D94:D98)</f>
        <v>0</v>
      </c>
      <c r="E93" s="16">
        <f t="shared" si="27"/>
        <v>0</v>
      </c>
      <c r="F93" s="16">
        <f t="shared" si="27"/>
        <v>0</v>
      </c>
      <c r="G93" s="16">
        <f t="shared" si="27"/>
        <v>0</v>
      </c>
      <c r="H93" s="16">
        <f t="shared" si="27"/>
        <v>0</v>
      </c>
      <c r="I93" s="16">
        <f t="shared" si="27"/>
        <v>0</v>
      </c>
      <c r="J93" s="16">
        <f t="shared" si="27"/>
        <v>0</v>
      </c>
      <c r="K93" s="16">
        <f>SUM(D93:J93)</f>
        <v>0</v>
      </c>
      <c r="L93" s="17"/>
    </row>
    <row r="94" spans="1:12" ht="26" x14ac:dyDescent="0.35">
      <c r="A94" s="13"/>
      <c r="B94" s="18" t="s">
        <v>496</v>
      </c>
      <c r="C94" s="15" t="s">
        <v>23</v>
      </c>
      <c r="D94" s="16"/>
      <c r="E94" s="16"/>
      <c r="F94" s="16"/>
      <c r="G94" s="16"/>
      <c r="H94" s="16"/>
      <c r="I94" s="16"/>
      <c r="J94" s="16"/>
      <c r="K94" s="16">
        <f>SUM(D94:J94)</f>
        <v>0</v>
      </c>
      <c r="L94" s="17"/>
    </row>
    <row r="95" spans="1:12" x14ac:dyDescent="0.35">
      <c r="A95" s="13"/>
      <c r="B95" s="18" t="s">
        <v>26</v>
      </c>
      <c r="C95" s="15" t="s">
        <v>23</v>
      </c>
      <c r="D95" s="16"/>
      <c r="E95" s="16"/>
      <c r="F95" s="16"/>
      <c r="G95" s="16"/>
      <c r="H95" s="16"/>
      <c r="I95" s="16"/>
      <c r="J95" s="16"/>
      <c r="K95" s="16">
        <f>SUM(D95:J95)</f>
        <v>0</v>
      </c>
      <c r="L95" s="17"/>
    </row>
    <row r="96" spans="1:12" x14ac:dyDescent="0.35">
      <c r="A96" s="13"/>
      <c r="B96" s="18" t="s">
        <v>27</v>
      </c>
      <c r="C96" s="15" t="s">
        <v>23</v>
      </c>
      <c r="D96" s="16"/>
      <c r="E96" s="16"/>
      <c r="F96" s="16"/>
      <c r="G96" s="16"/>
      <c r="H96" s="16"/>
      <c r="I96" s="16"/>
      <c r="J96" s="16"/>
      <c r="K96" s="16">
        <f>SUM(D96:J96)</f>
        <v>0</v>
      </c>
      <c r="L96" s="17"/>
    </row>
    <row r="97" spans="1:12" x14ac:dyDescent="0.35">
      <c r="A97" s="13"/>
      <c r="B97" s="18" t="s">
        <v>28</v>
      </c>
      <c r="C97" s="15" t="s">
        <v>23</v>
      </c>
      <c r="D97" s="16"/>
      <c r="E97" s="16"/>
      <c r="F97" s="16"/>
      <c r="G97" s="16"/>
      <c r="H97" s="16"/>
      <c r="I97" s="16"/>
      <c r="J97" s="16"/>
      <c r="K97" s="16">
        <f>SUM(D97:J97)</f>
        <v>0</v>
      </c>
      <c r="L97" s="17"/>
    </row>
    <row r="98" spans="1:12" x14ac:dyDescent="0.35">
      <c r="A98" s="13"/>
      <c r="B98" s="18" t="s">
        <v>29</v>
      </c>
      <c r="C98" s="15" t="s">
        <v>23</v>
      </c>
      <c r="D98" s="16"/>
      <c r="E98" s="16"/>
      <c r="F98" s="16"/>
      <c r="G98" s="16"/>
      <c r="H98" s="16"/>
      <c r="I98" s="16"/>
      <c r="J98" s="16"/>
      <c r="K98" s="16"/>
      <c r="L98" s="17"/>
    </row>
    <row r="99" spans="1:12" ht="54" x14ac:dyDescent="0.35">
      <c r="A99" s="19" t="s">
        <v>32</v>
      </c>
      <c r="B99" s="20" t="s">
        <v>33</v>
      </c>
      <c r="C99" s="15" t="s">
        <v>23</v>
      </c>
      <c r="D99" s="16"/>
      <c r="E99" s="16"/>
      <c r="F99" s="16"/>
      <c r="G99" s="16"/>
      <c r="H99" s="16"/>
      <c r="I99" s="16"/>
      <c r="J99" s="16"/>
      <c r="K99" s="16">
        <f t="shared" ref="K99:K107" si="28">SUM(D99:J99)</f>
        <v>0</v>
      </c>
      <c r="L99" s="17"/>
    </row>
    <row r="100" spans="1:12" ht="61.5" customHeight="1" x14ac:dyDescent="0.35">
      <c r="A100" s="19"/>
      <c r="B100" s="18" t="s">
        <v>224</v>
      </c>
      <c r="C100" s="15"/>
      <c r="D100" s="16"/>
      <c r="E100" s="16"/>
      <c r="F100" s="16"/>
      <c r="G100" s="16"/>
      <c r="H100" s="16"/>
      <c r="I100" s="16"/>
      <c r="J100" s="16"/>
      <c r="K100" s="16">
        <f t="shared" si="28"/>
        <v>0</v>
      </c>
      <c r="L100" s="17"/>
    </row>
    <row r="101" spans="1:12" ht="67.5" x14ac:dyDescent="0.35">
      <c r="A101" s="19" t="s">
        <v>35</v>
      </c>
      <c r="B101" s="14" t="s">
        <v>36</v>
      </c>
      <c r="C101" s="21" t="s">
        <v>23</v>
      </c>
      <c r="D101" s="22">
        <f t="shared" ref="D101:J101" si="29">SUM(D102:D106)</f>
        <v>0</v>
      </c>
      <c r="E101" s="22">
        <f t="shared" si="29"/>
        <v>0</v>
      </c>
      <c r="F101" s="22">
        <f t="shared" si="29"/>
        <v>0</v>
      </c>
      <c r="G101" s="22">
        <f t="shared" si="29"/>
        <v>0</v>
      </c>
      <c r="H101" s="22">
        <f t="shared" si="29"/>
        <v>0</v>
      </c>
      <c r="I101" s="22">
        <f t="shared" si="29"/>
        <v>0</v>
      </c>
      <c r="J101" s="22">
        <f t="shared" si="29"/>
        <v>0</v>
      </c>
      <c r="K101" s="22">
        <f t="shared" si="28"/>
        <v>0</v>
      </c>
      <c r="L101" s="23"/>
    </row>
    <row r="102" spans="1:12" x14ac:dyDescent="0.35">
      <c r="A102" s="13"/>
      <c r="B102" s="18" t="s">
        <v>24</v>
      </c>
      <c r="C102" s="15" t="s">
        <v>23</v>
      </c>
      <c r="D102" s="16">
        <f>+D88-D94</f>
        <v>0</v>
      </c>
      <c r="E102" s="16">
        <f t="shared" ref="E102:J102" si="30">+E88-E94</f>
        <v>0</v>
      </c>
      <c r="F102" s="16">
        <f t="shared" si="30"/>
        <v>0</v>
      </c>
      <c r="G102" s="16">
        <f t="shared" si="30"/>
        <v>0</v>
      </c>
      <c r="H102" s="16">
        <f t="shared" si="30"/>
        <v>0</v>
      </c>
      <c r="I102" s="16">
        <f t="shared" si="30"/>
        <v>0</v>
      </c>
      <c r="J102" s="16">
        <f t="shared" si="30"/>
        <v>0</v>
      </c>
      <c r="K102" s="16">
        <f t="shared" si="28"/>
        <v>0</v>
      </c>
      <c r="L102" s="17"/>
    </row>
    <row r="103" spans="1:12" x14ac:dyDescent="0.35">
      <c r="A103" s="13"/>
      <c r="B103" s="18" t="s">
        <v>37</v>
      </c>
      <c r="C103" s="15" t="s">
        <v>23</v>
      </c>
      <c r="D103" s="16">
        <f>+D89-D95</f>
        <v>0</v>
      </c>
      <c r="E103" s="16">
        <f t="shared" ref="E103:J106" si="31">+E89-E95</f>
        <v>0</v>
      </c>
      <c r="F103" s="16">
        <f t="shared" si="31"/>
        <v>0</v>
      </c>
      <c r="G103" s="16">
        <f t="shared" si="31"/>
        <v>0</v>
      </c>
      <c r="H103" s="16">
        <f t="shared" si="31"/>
        <v>0</v>
      </c>
      <c r="I103" s="16">
        <f t="shared" si="31"/>
        <v>0</v>
      </c>
      <c r="J103" s="16">
        <f t="shared" si="31"/>
        <v>0</v>
      </c>
      <c r="K103" s="16">
        <f t="shared" si="28"/>
        <v>0</v>
      </c>
      <c r="L103" s="17"/>
    </row>
    <row r="104" spans="1:12" x14ac:dyDescent="0.35">
      <c r="A104" s="13"/>
      <c r="B104" s="18" t="s">
        <v>38</v>
      </c>
      <c r="C104" s="15" t="s">
        <v>23</v>
      </c>
      <c r="D104" s="16">
        <f>+D90-D96</f>
        <v>0</v>
      </c>
      <c r="E104" s="16">
        <f t="shared" si="31"/>
        <v>0</v>
      </c>
      <c r="F104" s="16">
        <f t="shared" si="31"/>
        <v>0</v>
      </c>
      <c r="G104" s="16">
        <f t="shared" si="31"/>
        <v>0</v>
      </c>
      <c r="H104" s="16">
        <f t="shared" si="31"/>
        <v>0</v>
      </c>
      <c r="I104" s="16">
        <f t="shared" si="31"/>
        <v>0</v>
      </c>
      <c r="J104" s="16">
        <f t="shared" si="31"/>
        <v>0</v>
      </c>
      <c r="K104" s="16">
        <f t="shared" si="28"/>
        <v>0</v>
      </c>
      <c r="L104" s="17"/>
    </row>
    <row r="105" spans="1:12" x14ac:dyDescent="0.35">
      <c r="A105" s="13"/>
      <c r="B105" s="18" t="s">
        <v>39</v>
      </c>
      <c r="C105" s="15" t="s">
        <v>23</v>
      </c>
      <c r="D105" s="16">
        <f>+D91-D97</f>
        <v>0</v>
      </c>
      <c r="E105" s="16">
        <f t="shared" si="31"/>
        <v>0</v>
      </c>
      <c r="F105" s="16">
        <f t="shared" si="31"/>
        <v>0</v>
      </c>
      <c r="G105" s="16">
        <f t="shared" si="31"/>
        <v>0</v>
      </c>
      <c r="H105" s="16">
        <f t="shared" si="31"/>
        <v>0</v>
      </c>
      <c r="I105" s="16">
        <f t="shared" si="31"/>
        <v>0</v>
      </c>
      <c r="J105" s="16">
        <f t="shared" si="31"/>
        <v>0</v>
      </c>
      <c r="K105" s="16">
        <f t="shared" si="28"/>
        <v>0</v>
      </c>
      <c r="L105" s="17"/>
    </row>
    <row r="106" spans="1:12" x14ac:dyDescent="0.35">
      <c r="A106" s="13"/>
      <c r="B106" s="18" t="s">
        <v>40</v>
      </c>
      <c r="C106" s="15" t="s">
        <v>23</v>
      </c>
      <c r="D106" s="16">
        <f>+D92-D98</f>
        <v>0</v>
      </c>
      <c r="E106" s="16">
        <f t="shared" si="31"/>
        <v>0</v>
      </c>
      <c r="F106" s="16">
        <f t="shared" si="31"/>
        <v>0</v>
      </c>
      <c r="G106" s="16">
        <f t="shared" si="31"/>
        <v>0</v>
      </c>
      <c r="H106" s="16">
        <f t="shared" si="31"/>
        <v>0</v>
      </c>
      <c r="I106" s="16">
        <f t="shared" si="31"/>
        <v>0</v>
      </c>
      <c r="J106" s="16">
        <f t="shared" si="31"/>
        <v>0</v>
      </c>
      <c r="K106" s="16">
        <f t="shared" si="28"/>
        <v>0</v>
      </c>
      <c r="L106" s="17"/>
    </row>
    <row r="107" spans="1:12" ht="15.75" customHeight="1" x14ac:dyDescent="0.35">
      <c r="A107" s="19"/>
      <c r="B107" s="18" t="s">
        <v>34</v>
      </c>
      <c r="C107" s="15" t="s">
        <v>23</v>
      </c>
      <c r="D107" s="16">
        <f>+D100</f>
        <v>0</v>
      </c>
      <c r="E107" s="16">
        <f t="shared" ref="E107:J107" si="32">+E100</f>
        <v>0</v>
      </c>
      <c r="F107" s="16">
        <f t="shared" si="32"/>
        <v>0</v>
      </c>
      <c r="G107" s="16">
        <f t="shared" si="32"/>
        <v>0</v>
      </c>
      <c r="H107" s="16">
        <f t="shared" si="32"/>
        <v>0</v>
      </c>
      <c r="I107" s="16">
        <f t="shared" si="32"/>
        <v>0</v>
      </c>
      <c r="J107" s="16">
        <f t="shared" si="32"/>
        <v>0</v>
      </c>
      <c r="K107" s="16">
        <f t="shared" si="28"/>
        <v>0</v>
      </c>
      <c r="L107" s="17"/>
    </row>
    <row r="108" spans="1:12" ht="23.25" customHeight="1" x14ac:dyDescent="0.35">
      <c r="A108" s="433" t="s">
        <v>273</v>
      </c>
      <c r="B108" s="434" t="s">
        <v>498</v>
      </c>
      <c r="C108" s="435"/>
      <c r="D108" s="436"/>
      <c r="E108" s="436"/>
      <c r="F108" s="436"/>
      <c r="G108" s="436"/>
      <c r="H108" s="436"/>
      <c r="I108" s="436"/>
      <c r="J108" s="436"/>
      <c r="K108" s="432"/>
      <c r="L108" s="437"/>
    </row>
    <row r="109" spans="1:12" ht="67.5" x14ac:dyDescent="0.35">
      <c r="A109" s="428" t="s">
        <v>499</v>
      </c>
      <c r="B109" s="14" t="s">
        <v>22</v>
      </c>
      <c r="C109" s="428"/>
      <c r="D109" s="430"/>
      <c r="E109" s="430"/>
      <c r="F109" s="430"/>
      <c r="G109" s="430"/>
      <c r="H109" s="430"/>
      <c r="I109" s="430"/>
      <c r="J109" s="430"/>
      <c r="K109" s="430"/>
      <c r="L109" s="431"/>
    </row>
    <row r="110" spans="1:12" ht="54" x14ac:dyDescent="0.35">
      <c r="A110" s="428" t="s">
        <v>500</v>
      </c>
      <c r="B110" s="14" t="s">
        <v>31</v>
      </c>
      <c r="C110" s="428"/>
      <c r="D110" s="430"/>
      <c r="E110" s="430"/>
      <c r="F110" s="430"/>
      <c r="G110" s="430"/>
      <c r="H110" s="430"/>
      <c r="I110" s="430"/>
      <c r="J110" s="430"/>
      <c r="K110" s="430"/>
      <c r="L110" s="431"/>
    </row>
    <row r="111" spans="1:12" ht="54" x14ac:dyDescent="0.35">
      <c r="A111" s="428" t="s">
        <v>501</v>
      </c>
      <c r="B111" s="20" t="s">
        <v>33</v>
      </c>
      <c r="C111" s="428"/>
      <c r="D111" s="430"/>
      <c r="E111" s="430"/>
      <c r="F111" s="430"/>
      <c r="G111" s="430"/>
      <c r="H111" s="430"/>
      <c r="I111" s="430"/>
      <c r="J111" s="430"/>
      <c r="K111" s="430"/>
      <c r="L111" s="431"/>
    </row>
    <row r="112" spans="1:12" ht="67.5" x14ac:dyDescent="0.35">
      <c r="A112" s="428" t="s">
        <v>502</v>
      </c>
      <c r="B112" s="14" t="s">
        <v>36</v>
      </c>
      <c r="C112" s="428"/>
      <c r="D112" s="430"/>
      <c r="E112" s="430"/>
      <c r="F112" s="430"/>
      <c r="G112" s="430"/>
      <c r="H112" s="430"/>
      <c r="I112" s="430"/>
      <c r="J112" s="430"/>
      <c r="K112" s="430"/>
      <c r="L112" s="431"/>
    </row>
    <row r="113" spans="1:12" x14ac:dyDescent="0.35">
      <c r="A113" s="428"/>
      <c r="B113" s="429"/>
      <c r="C113" s="428"/>
      <c r="D113" s="430"/>
      <c r="E113" s="430"/>
      <c r="F113" s="430"/>
      <c r="G113" s="430"/>
      <c r="H113" s="430"/>
      <c r="I113" s="430"/>
      <c r="J113" s="430"/>
      <c r="K113" s="430"/>
      <c r="L113" s="431"/>
    </row>
    <row r="114" spans="1:12" x14ac:dyDescent="0.35">
      <c r="A114" s="428"/>
      <c r="B114" s="429"/>
      <c r="C114" s="428"/>
      <c r="D114" s="430"/>
      <c r="E114" s="430"/>
      <c r="F114" s="430"/>
      <c r="G114" s="430"/>
      <c r="H114" s="430"/>
      <c r="I114" s="430"/>
      <c r="J114" s="430"/>
      <c r="K114" s="430"/>
      <c r="L114" s="431"/>
    </row>
    <row r="115" spans="1:12" x14ac:dyDescent="0.35">
      <c r="A115" s="428"/>
      <c r="B115" s="429"/>
      <c r="C115" s="428"/>
      <c r="D115" s="430"/>
      <c r="E115" s="430"/>
      <c r="F115" s="430"/>
      <c r="G115" s="430"/>
      <c r="H115" s="430"/>
      <c r="I115" s="430"/>
      <c r="J115" s="430"/>
      <c r="K115" s="430"/>
      <c r="L115" s="431"/>
    </row>
    <row r="116" spans="1:12" x14ac:dyDescent="0.35">
      <c r="A116" s="196"/>
      <c r="B116" s="197"/>
      <c r="C116" s="197"/>
      <c r="D116" s="197"/>
      <c r="E116" s="197"/>
      <c r="F116" s="197"/>
      <c r="G116" s="197"/>
      <c r="H116" s="197"/>
      <c r="I116" s="197"/>
      <c r="J116" s="819"/>
      <c r="K116" s="819"/>
      <c r="L116" s="819"/>
    </row>
    <row r="117" spans="1:12" x14ac:dyDescent="0.35">
      <c r="A117" s="438"/>
      <c r="B117" s="439"/>
      <c r="C117" s="440"/>
      <c r="D117" s="440"/>
      <c r="E117" s="440"/>
      <c r="F117" s="440"/>
      <c r="G117" s="440"/>
      <c r="H117" s="440"/>
      <c r="I117" s="440"/>
      <c r="K117" s="227"/>
      <c r="L117" s="228" t="s">
        <v>42</v>
      </c>
    </row>
    <row r="118" spans="1:12" ht="15.5" x14ac:dyDescent="0.35">
      <c r="A118" s="813"/>
      <c r="B118" s="813"/>
      <c r="C118" s="813"/>
      <c r="D118" s="441"/>
      <c r="E118" s="441"/>
      <c r="F118" s="441"/>
      <c r="G118" s="441"/>
      <c r="H118" s="441"/>
      <c r="I118" s="441"/>
      <c r="J118" s="814" t="s">
        <v>43</v>
      </c>
      <c r="K118" s="814"/>
      <c r="L118" s="814"/>
    </row>
  </sheetData>
  <mergeCells count="8">
    <mergeCell ref="M33:M37"/>
    <mergeCell ref="A118:C118"/>
    <mergeCell ref="J118:L118"/>
    <mergeCell ref="A1:B1"/>
    <mergeCell ref="K1:L1"/>
    <mergeCell ref="A2:B2"/>
    <mergeCell ref="A3:L3"/>
    <mergeCell ref="J116:L116"/>
  </mergeCells>
  <pageMargins left="0.28000000000000003" right="0.17" top="0.75" bottom="0.75" header="0.3" footer="0.3"/>
  <pageSetup paperSize="9" scale="82"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C113E-694F-474B-A020-57FA4349AE4E}">
  <sheetPr>
    <tabColor rgb="FF7030A0"/>
    <pageSetUpPr fitToPage="1"/>
  </sheetPr>
  <dimension ref="A1:F24"/>
  <sheetViews>
    <sheetView workbookViewId="0">
      <selection activeCell="F9" sqref="F9"/>
    </sheetView>
  </sheetViews>
  <sheetFormatPr defaultColWidth="9" defaultRowHeight="18" x14ac:dyDescent="0.35"/>
  <cols>
    <col min="1" max="1" width="5.08984375" style="301" customWidth="1"/>
    <col min="2" max="2" width="40.08984375" style="301" customWidth="1"/>
    <col min="3" max="3" width="18.6328125" style="301" customWidth="1"/>
    <col min="4" max="4" width="20.7265625" style="301" customWidth="1"/>
    <col min="5" max="16384" width="9" style="301"/>
  </cols>
  <sheetData>
    <row r="1" spans="1:6" x14ac:dyDescent="0.35">
      <c r="A1" s="1002" t="s">
        <v>454</v>
      </c>
      <c r="B1" s="1002"/>
      <c r="C1" s="299"/>
      <c r="D1" s="203" t="s">
        <v>455</v>
      </c>
      <c r="E1" s="299"/>
      <c r="F1" s="299"/>
    </row>
    <row r="2" spans="1:6" x14ac:dyDescent="0.35">
      <c r="A2" s="1004" t="s">
        <v>456</v>
      </c>
      <c r="B2" s="1004"/>
      <c r="C2" s="299"/>
      <c r="D2" s="299"/>
      <c r="E2" s="299"/>
      <c r="F2" s="299"/>
    </row>
    <row r="3" spans="1:6" x14ac:dyDescent="0.35">
      <c r="A3" s="299"/>
      <c r="B3" s="299"/>
      <c r="C3" s="299"/>
      <c r="D3" s="299"/>
      <c r="E3" s="299"/>
      <c r="F3" s="299"/>
    </row>
    <row r="4" spans="1:6" x14ac:dyDescent="0.35">
      <c r="A4" s="1005" t="s">
        <v>457</v>
      </c>
      <c r="B4" s="1005"/>
      <c r="C4" s="1005"/>
      <c r="D4" s="1005"/>
      <c r="E4" s="299"/>
      <c r="F4" s="299"/>
    </row>
    <row r="5" spans="1:6" ht="18.5" thickBot="1" x14ac:dyDescent="0.4">
      <c r="A5" s="299"/>
      <c r="B5" s="299"/>
      <c r="C5" s="1009" t="s">
        <v>380</v>
      </c>
      <c r="D5" s="1009"/>
      <c r="E5" s="299"/>
      <c r="F5" s="299"/>
    </row>
    <row r="6" spans="1:6" s="140" customFormat="1" ht="15.5" thickTop="1" x14ac:dyDescent="0.35">
      <c r="A6" s="303" t="s">
        <v>281</v>
      </c>
      <c r="B6" s="304" t="s">
        <v>6</v>
      </c>
      <c r="C6" s="305" t="s">
        <v>458</v>
      </c>
      <c r="D6" s="306" t="s">
        <v>16</v>
      </c>
      <c r="E6" s="307"/>
      <c r="F6" s="307"/>
    </row>
    <row r="7" spans="1:6" s="244" customFormat="1" ht="15" x14ac:dyDescent="0.35">
      <c r="A7" s="308" t="s">
        <v>17</v>
      </c>
      <c r="B7" s="309" t="s">
        <v>459</v>
      </c>
      <c r="C7" s="309">
        <f>SUM(C8:C10)</f>
        <v>0</v>
      </c>
      <c r="D7" s="310"/>
      <c r="E7" s="311"/>
      <c r="F7" s="311"/>
    </row>
    <row r="8" spans="1:6" s="235" customFormat="1" ht="15.5" x14ac:dyDescent="0.35">
      <c r="A8" s="362">
        <v>1</v>
      </c>
      <c r="B8" s="320" t="s">
        <v>294</v>
      </c>
      <c r="C8" s="320">
        <f>'[1]Bieu 9-Tong hop thu'!E8</f>
        <v>0</v>
      </c>
      <c r="D8" s="363"/>
      <c r="E8" s="364"/>
      <c r="F8" s="364"/>
    </row>
    <row r="9" spans="1:6" s="235" customFormat="1" ht="15.5" x14ac:dyDescent="0.35">
      <c r="A9" s="365">
        <v>2</v>
      </c>
      <c r="B9" s="321" t="s">
        <v>460</v>
      </c>
      <c r="C9" s="321">
        <f>'[1]Bieu 9-Tong hop thu'!E61</f>
        <v>0</v>
      </c>
      <c r="D9" s="318"/>
      <c r="E9" s="364"/>
      <c r="F9" s="364"/>
    </row>
    <row r="10" spans="1:6" s="235" customFormat="1" ht="15.5" x14ac:dyDescent="0.35">
      <c r="A10" s="366">
        <v>3</v>
      </c>
      <c r="B10" s="321" t="s">
        <v>311</v>
      </c>
      <c r="C10" s="321">
        <f>'[1]Bieu 9-Tong hop thu'!E60-'[1]Bieu 9-Tong hop thu'!E61</f>
        <v>0</v>
      </c>
      <c r="D10" s="318"/>
      <c r="E10" s="364"/>
      <c r="F10" s="364"/>
    </row>
    <row r="11" spans="1:6" s="235" customFormat="1" ht="15.5" x14ac:dyDescent="0.35">
      <c r="A11" s="367"/>
      <c r="B11" s="368"/>
      <c r="C11" s="368"/>
      <c r="D11" s="369"/>
      <c r="E11" s="364"/>
      <c r="F11" s="364"/>
    </row>
    <row r="12" spans="1:6" s="244" customFormat="1" ht="15" x14ac:dyDescent="0.35">
      <c r="A12" s="308" t="s">
        <v>129</v>
      </c>
      <c r="B12" s="309" t="s">
        <v>461</v>
      </c>
      <c r="C12" s="309">
        <f>SUM(C13:C16)</f>
        <v>0</v>
      </c>
      <c r="D12" s="310"/>
      <c r="E12" s="311"/>
      <c r="F12" s="311"/>
    </row>
    <row r="13" spans="1:6" s="235" customFormat="1" ht="15.5" x14ac:dyDescent="0.35">
      <c r="A13" s="362">
        <v>1</v>
      </c>
      <c r="B13" s="320" t="s">
        <v>383</v>
      </c>
      <c r="C13" s="320">
        <f>'[1]Bieu 10-Tong hop chi'!C8</f>
        <v>0</v>
      </c>
      <c r="D13" s="363"/>
      <c r="E13" s="364"/>
      <c r="F13" s="364"/>
    </row>
    <row r="14" spans="1:6" s="235" customFormat="1" ht="15.5" x14ac:dyDescent="0.35">
      <c r="A14" s="366">
        <v>2</v>
      </c>
      <c r="B14" s="321" t="s">
        <v>462</v>
      </c>
      <c r="C14" s="321">
        <f>'[1]Bieu 10-Tong hop chi'!C19</f>
        <v>0</v>
      </c>
      <c r="D14" s="318"/>
      <c r="E14" s="364"/>
      <c r="F14" s="364"/>
    </row>
    <row r="15" spans="1:6" s="235" customFormat="1" ht="15.5" x14ac:dyDescent="0.35">
      <c r="A15" s="370">
        <v>3</v>
      </c>
      <c r="B15" s="331" t="s">
        <v>441</v>
      </c>
      <c r="C15" s="330">
        <f>'[1]Bieu 10-Tong hop chi'!C32</f>
        <v>0</v>
      </c>
      <c r="D15" s="326"/>
      <c r="E15" s="364"/>
      <c r="F15" s="364"/>
    </row>
    <row r="16" spans="1:6" s="235" customFormat="1" ht="15.5" x14ac:dyDescent="0.35">
      <c r="A16" s="370">
        <v>4</v>
      </c>
      <c r="B16" s="331" t="s">
        <v>256</v>
      </c>
      <c r="C16" s="330">
        <f>'[1]Bieu 10-Tong hop chi'!C36</f>
        <v>0</v>
      </c>
      <c r="D16" s="326"/>
      <c r="E16" s="364"/>
      <c r="F16" s="364"/>
    </row>
    <row r="17" spans="1:6" s="235" customFormat="1" ht="16" thickBot="1" x14ac:dyDescent="0.4">
      <c r="A17" s="371"/>
      <c r="B17" s="372" t="s">
        <v>463</v>
      </c>
      <c r="C17" s="373">
        <f>C7-C12</f>
        <v>0</v>
      </c>
      <c r="D17" s="341"/>
      <c r="E17" s="364"/>
      <c r="F17" s="364"/>
    </row>
    <row r="18" spans="1:6" ht="18.5" thickTop="1" x14ac:dyDescent="0.35">
      <c r="A18" s="299"/>
      <c r="B18" s="299"/>
      <c r="C18" s="1010" t="s">
        <v>288</v>
      </c>
      <c r="D18" s="1010"/>
      <c r="E18" s="299"/>
      <c r="F18" s="299"/>
    </row>
    <row r="19" spans="1:6" x14ac:dyDescent="0.3">
      <c r="A19" s="299"/>
      <c r="B19" s="299"/>
      <c r="C19" s="1008" t="s">
        <v>43</v>
      </c>
      <c r="D19" s="1008"/>
      <c r="E19" s="299"/>
      <c r="F19" s="299"/>
    </row>
    <row r="21" spans="1:6" x14ac:dyDescent="0.35">
      <c r="B21" s="235"/>
    </row>
    <row r="22" spans="1:6" x14ac:dyDescent="0.35">
      <c r="B22" s="235"/>
    </row>
    <row r="23" spans="1:6" x14ac:dyDescent="0.35">
      <c r="B23" s="235"/>
    </row>
    <row r="24" spans="1:6" x14ac:dyDescent="0.35">
      <c r="B24" s="235"/>
    </row>
  </sheetData>
  <mergeCells count="6">
    <mergeCell ref="C19:D19"/>
    <mergeCell ref="A1:B1"/>
    <mergeCell ref="A2:B2"/>
    <mergeCell ref="A4:D4"/>
    <mergeCell ref="C5:D5"/>
    <mergeCell ref="C18:D18"/>
  </mergeCells>
  <pageMargins left="0.7" right="0.44" top="0.75" bottom="0.75" header="0.3" footer="0.3"/>
  <pageSetup paperSize="9"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4B3B9-3B63-4794-A0E4-8191F1180242}">
  <sheetPr>
    <tabColor theme="7"/>
  </sheetPr>
  <dimension ref="A1:S74"/>
  <sheetViews>
    <sheetView topLeftCell="D11" workbookViewId="0">
      <selection activeCell="N39" sqref="N39"/>
    </sheetView>
  </sheetViews>
  <sheetFormatPr defaultRowHeight="15.5" x14ac:dyDescent="0.35"/>
  <cols>
    <col min="1" max="1" width="4.6328125" style="298" customWidth="1"/>
    <col min="2" max="2" width="40.26953125" style="283" bestFit="1" customWidth="1"/>
    <col min="3" max="3" width="21.08984375" style="281" customWidth="1"/>
    <col min="4" max="4" width="19.08984375" style="281" customWidth="1"/>
    <col min="5" max="5" width="17.36328125" style="281" customWidth="1"/>
    <col min="6" max="6" width="18.26953125" style="281" customWidth="1"/>
    <col min="7" max="7" width="16.6328125" style="283" customWidth="1"/>
    <col min="8" max="8" width="12.36328125" style="283" bestFit="1" customWidth="1"/>
    <col min="9" max="9" width="9" style="283"/>
    <col min="10" max="10" width="41.6328125" style="283" bestFit="1" customWidth="1"/>
    <col min="11" max="11" width="15.08984375" style="283" customWidth="1"/>
    <col min="12" max="12" width="15.6328125" style="283" bestFit="1" customWidth="1"/>
    <col min="13" max="13" width="15.08984375" style="283" bestFit="1" customWidth="1"/>
    <col min="14" max="14" width="16.08984375" style="283" customWidth="1"/>
    <col min="15" max="256" width="9" style="283"/>
    <col min="257" max="257" width="4.6328125" style="283" customWidth="1"/>
    <col min="258" max="258" width="40.26953125" style="283" bestFit="1" customWidth="1"/>
    <col min="259" max="259" width="21.08984375" style="283" customWidth="1"/>
    <col min="260" max="260" width="19.08984375" style="283" customWidth="1"/>
    <col min="261" max="261" width="15.08984375" style="283" customWidth="1"/>
    <col min="262" max="262" width="14.36328125" style="283" bestFit="1" customWidth="1"/>
    <col min="263" max="263" width="16.6328125" style="283" customWidth="1"/>
    <col min="264" max="512" width="9" style="283"/>
    <col min="513" max="513" width="4.6328125" style="283" customWidth="1"/>
    <col min="514" max="514" width="40.26953125" style="283" bestFit="1" customWidth="1"/>
    <col min="515" max="515" width="21.08984375" style="283" customWidth="1"/>
    <col min="516" max="516" width="19.08984375" style="283" customWidth="1"/>
    <col min="517" max="517" width="15.08984375" style="283" customWidth="1"/>
    <col min="518" max="518" width="14.36328125" style="283" bestFit="1" customWidth="1"/>
    <col min="519" max="519" width="16.6328125" style="283" customWidth="1"/>
    <col min="520" max="768" width="9" style="283"/>
    <col min="769" max="769" width="4.6328125" style="283" customWidth="1"/>
    <col min="770" max="770" width="40.26953125" style="283" bestFit="1" customWidth="1"/>
    <col min="771" max="771" width="21.08984375" style="283" customWidth="1"/>
    <col min="772" max="772" width="19.08984375" style="283" customWidth="1"/>
    <col min="773" max="773" width="15.08984375" style="283" customWidth="1"/>
    <col min="774" max="774" width="14.36328125" style="283" bestFit="1" customWidth="1"/>
    <col min="775" max="775" width="16.6328125" style="283" customWidth="1"/>
    <col min="776" max="1024" width="9" style="283"/>
    <col min="1025" max="1025" width="4.6328125" style="283" customWidth="1"/>
    <col min="1026" max="1026" width="40.26953125" style="283" bestFit="1" customWidth="1"/>
    <col min="1027" max="1027" width="21.08984375" style="283" customWidth="1"/>
    <col min="1028" max="1028" width="19.08984375" style="283" customWidth="1"/>
    <col min="1029" max="1029" width="15.08984375" style="283" customWidth="1"/>
    <col min="1030" max="1030" width="14.36328125" style="283" bestFit="1" customWidth="1"/>
    <col min="1031" max="1031" width="16.6328125" style="283" customWidth="1"/>
    <col min="1032" max="1280" width="9" style="283"/>
    <col min="1281" max="1281" width="4.6328125" style="283" customWidth="1"/>
    <col min="1282" max="1282" width="40.26953125" style="283" bestFit="1" customWidth="1"/>
    <col min="1283" max="1283" width="21.08984375" style="283" customWidth="1"/>
    <col min="1284" max="1284" width="19.08984375" style="283" customWidth="1"/>
    <col min="1285" max="1285" width="15.08984375" style="283" customWidth="1"/>
    <col min="1286" max="1286" width="14.36328125" style="283" bestFit="1" customWidth="1"/>
    <col min="1287" max="1287" width="16.6328125" style="283" customWidth="1"/>
    <col min="1288" max="1536" width="9" style="283"/>
    <col min="1537" max="1537" width="4.6328125" style="283" customWidth="1"/>
    <col min="1538" max="1538" width="40.26953125" style="283" bestFit="1" customWidth="1"/>
    <col min="1539" max="1539" width="21.08984375" style="283" customWidth="1"/>
    <col min="1540" max="1540" width="19.08984375" style="283" customWidth="1"/>
    <col min="1541" max="1541" width="15.08984375" style="283" customWidth="1"/>
    <col min="1542" max="1542" width="14.36328125" style="283" bestFit="1" customWidth="1"/>
    <col min="1543" max="1543" width="16.6328125" style="283" customWidth="1"/>
    <col min="1544" max="1792" width="9" style="283"/>
    <col min="1793" max="1793" width="4.6328125" style="283" customWidth="1"/>
    <col min="1794" max="1794" width="40.26953125" style="283" bestFit="1" customWidth="1"/>
    <col min="1795" max="1795" width="21.08984375" style="283" customWidth="1"/>
    <col min="1796" max="1796" width="19.08984375" style="283" customWidth="1"/>
    <col min="1797" max="1797" width="15.08984375" style="283" customWidth="1"/>
    <col min="1798" max="1798" width="14.36328125" style="283" bestFit="1" customWidth="1"/>
    <col min="1799" max="1799" width="16.6328125" style="283" customWidth="1"/>
    <col min="1800" max="2048" width="9" style="283"/>
    <col min="2049" max="2049" width="4.6328125" style="283" customWidth="1"/>
    <col min="2050" max="2050" width="40.26953125" style="283" bestFit="1" customWidth="1"/>
    <col min="2051" max="2051" width="21.08984375" style="283" customWidth="1"/>
    <col min="2052" max="2052" width="19.08984375" style="283" customWidth="1"/>
    <col min="2053" max="2053" width="15.08984375" style="283" customWidth="1"/>
    <col min="2054" max="2054" width="14.36328125" style="283" bestFit="1" customWidth="1"/>
    <col min="2055" max="2055" width="16.6328125" style="283" customWidth="1"/>
    <col min="2056" max="2304" width="9" style="283"/>
    <col min="2305" max="2305" width="4.6328125" style="283" customWidth="1"/>
    <col min="2306" max="2306" width="40.26953125" style="283" bestFit="1" customWidth="1"/>
    <col min="2307" max="2307" width="21.08984375" style="283" customWidth="1"/>
    <col min="2308" max="2308" width="19.08984375" style="283" customWidth="1"/>
    <col min="2309" max="2309" width="15.08984375" style="283" customWidth="1"/>
    <col min="2310" max="2310" width="14.36328125" style="283" bestFit="1" customWidth="1"/>
    <col min="2311" max="2311" width="16.6328125" style="283" customWidth="1"/>
    <col min="2312" max="2560" width="9" style="283"/>
    <col min="2561" max="2561" width="4.6328125" style="283" customWidth="1"/>
    <col min="2562" max="2562" width="40.26953125" style="283" bestFit="1" customWidth="1"/>
    <col min="2563" max="2563" width="21.08984375" style="283" customWidth="1"/>
    <col min="2564" max="2564" width="19.08984375" style="283" customWidth="1"/>
    <col min="2565" max="2565" width="15.08984375" style="283" customWidth="1"/>
    <col min="2566" max="2566" width="14.36328125" style="283" bestFit="1" customWidth="1"/>
    <col min="2567" max="2567" width="16.6328125" style="283" customWidth="1"/>
    <col min="2568" max="2816" width="9" style="283"/>
    <col min="2817" max="2817" width="4.6328125" style="283" customWidth="1"/>
    <col min="2818" max="2818" width="40.26953125" style="283" bestFit="1" customWidth="1"/>
    <col min="2819" max="2819" width="21.08984375" style="283" customWidth="1"/>
    <col min="2820" max="2820" width="19.08984375" style="283" customWidth="1"/>
    <col min="2821" max="2821" width="15.08984375" style="283" customWidth="1"/>
    <col min="2822" max="2822" width="14.36328125" style="283" bestFit="1" customWidth="1"/>
    <col min="2823" max="2823" width="16.6328125" style="283" customWidth="1"/>
    <col min="2824" max="3072" width="9" style="283"/>
    <col min="3073" max="3073" width="4.6328125" style="283" customWidth="1"/>
    <col min="3074" max="3074" width="40.26953125" style="283" bestFit="1" customWidth="1"/>
    <col min="3075" max="3075" width="21.08984375" style="283" customWidth="1"/>
    <col min="3076" max="3076" width="19.08984375" style="283" customWidth="1"/>
    <col min="3077" max="3077" width="15.08984375" style="283" customWidth="1"/>
    <col min="3078" max="3078" width="14.36328125" style="283" bestFit="1" customWidth="1"/>
    <col min="3079" max="3079" width="16.6328125" style="283" customWidth="1"/>
    <col min="3080" max="3328" width="9" style="283"/>
    <col min="3329" max="3329" width="4.6328125" style="283" customWidth="1"/>
    <col min="3330" max="3330" width="40.26953125" style="283" bestFit="1" customWidth="1"/>
    <col min="3331" max="3331" width="21.08984375" style="283" customWidth="1"/>
    <col min="3332" max="3332" width="19.08984375" style="283" customWidth="1"/>
    <col min="3333" max="3333" width="15.08984375" style="283" customWidth="1"/>
    <col min="3334" max="3334" width="14.36328125" style="283" bestFit="1" customWidth="1"/>
    <col min="3335" max="3335" width="16.6328125" style="283" customWidth="1"/>
    <col min="3336" max="3584" width="9" style="283"/>
    <col min="3585" max="3585" width="4.6328125" style="283" customWidth="1"/>
    <col min="3586" max="3586" width="40.26953125" style="283" bestFit="1" customWidth="1"/>
    <col min="3587" max="3587" width="21.08984375" style="283" customWidth="1"/>
    <col min="3588" max="3588" width="19.08984375" style="283" customWidth="1"/>
    <col min="3589" max="3589" width="15.08984375" style="283" customWidth="1"/>
    <col min="3590" max="3590" width="14.36328125" style="283" bestFit="1" customWidth="1"/>
    <col min="3591" max="3591" width="16.6328125" style="283" customWidth="1"/>
    <col min="3592" max="3840" width="9" style="283"/>
    <col min="3841" max="3841" width="4.6328125" style="283" customWidth="1"/>
    <col min="3842" max="3842" width="40.26953125" style="283" bestFit="1" customWidth="1"/>
    <col min="3843" max="3843" width="21.08984375" style="283" customWidth="1"/>
    <col min="3844" max="3844" width="19.08984375" style="283" customWidth="1"/>
    <col min="3845" max="3845" width="15.08984375" style="283" customWidth="1"/>
    <col min="3846" max="3846" width="14.36328125" style="283" bestFit="1" customWidth="1"/>
    <col min="3847" max="3847" width="16.6328125" style="283" customWidth="1"/>
    <col min="3848" max="4096" width="9" style="283"/>
    <col min="4097" max="4097" width="4.6328125" style="283" customWidth="1"/>
    <col min="4098" max="4098" width="40.26953125" style="283" bestFit="1" customWidth="1"/>
    <col min="4099" max="4099" width="21.08984375" style="283" customWidth="1"/>
    <col min="4100" max="4100" width="19.08984375" style="283" customWidth="1"/>
    <col min="4101" max="4101" width="15.08984375" style="283" customWidth="1"/>
    <col min="4102" max="4102" width="14.36328125" style="283" bestFit="1" customWidth="1"/>
    <col min="4103" max="4103" width="16.6328125" style="283" customWidth="1"/>
    <col min="4104" max="4352" width="9" style="283"/>
    <col min="4353" max="4353" width="4.6328125" style="283" customWidth="1"/>
    <col min="4354" max="4354" width="40.26953125" style="283" bestFit="1" customWidth="1"/>
    <col min="4355" max="4355" width="21.08984375" style="283" customWidth="1"/>
    <col min="4356" max="4356" width="19.08984375" style="283" customWidth="1"/>
    <col min="4357" max="4357" width="15.08984375" style="283" customWidth="1"/>
    <col min="4358" max="4358" width="14.36328125" style="283" bestFit="1" customWidth="1"/>
    <col min="4359" max="4359" width="16.6328125" style="283" customWidth="1"/>
    <col min="4360" max="4608" width="9" style="283"/>
    <col min="4609" max="4609" width="4.6328125" style="283" customWidth="1"/>
    <col min="4610" max="4610" width="40.26953125" style="283" bestFit="1" customWidth="1"/>
    <col min="4611" max="4611" width="21.08984375" style="283" customWidth="1"/>
    <col min="4612" max="4612" width="19.08984375" style="283" customWidth="1"/>
    <col min="4613" max="4613" width="15.08984375" style="283" customWidth="1"/>
    <col min="4614" max="4614" width="14.36328125" style="283" bestFit="1" customWidth="1"/>
    <col min="4615" max="4615" width="16.6328125" style="283" customWidth="1"/>
    <col min="4616" max="4864" width="9" style="283"/>
    <col min="4865" max="4865" width="4.6328125" style="283" customWidth="1"/>
    <col min="4866" max="4866" width="40.26953125" style="283" bestFit="1" customWidth="1"/>
    <col min="4867" max="4867" width="21.08984375" style="283" customWidth="1"/>
    <col min="4868" max="4868" width="19.08984375" style="283" customWidth="1"/>
    <col min="4869" max="4869" width="15.08984375" style="283" customWidth="1"/>
    <col min="4870" max="4870" width="14.36328125" style="283" bestFit="1" customWidth="1"/>
    <col min="4871" max="4871" width="16.6328125" style="283" customWidth="1"/>
    <col min="4872" max="5120" width="9" style="283"/>
    <col min="5121" max="5121" width="4.6328125" style="283" customWidth="1"/>
    <col min="5122" max="5122" width="40.26953125" style="283" bestFit="1" customWidth="1"/>
    <col min="5123" max="5123" width="21.08984375" style="283" customWidth="1"/>
    <col min="5124" max="5124" width="19.08984375" style="283" customWidth="1"/>
    <col min="5125" max="5125" width="15.08984375" style="283" customWidth="1"/>
    <col min="5126" max="5126" width="14.36328125" style="283" bestFit="1" customWidth="1"/>
    <col min="5127" max="5127" width="16.6328125" style="283" customWidth="1"/>
    <col min="5128" max="5376" width="9" style="283"/>
    <col min="5377" max="5377" width="4.6328125" style="283" customWidth="1"/>
    <col min="5378" max="5378" width="40.26953125" style="283" bestFit="1" customWidth="1"/>
    <col min="5379" max="5379" width="21.08984375" style="283" customWidth="1"/>
    <col min="5380" max="5380" width="19.08984375" style="283" customWidth="1"/>
    <col min="5381" max="5381" width="15.08984375" style="283" customWidth="1"/>
    <col min="5382" max="5382" width="14.36328125" style="283" bestFit="1" customWidth="1"/>
    <col min="5383" max="5383" width="16.6328125" style="283" customWidth="1"/>
    <col min="5384" max="5632" width="9" style="283"/>
    <col min="5633" max="5633" width="4.6328125" style="283" customWidth="1"/>
    <col min="5634" max="5634" width="40.26953125" style="283" bestFit="1" customWidth="1"/>
    <col min="5635" max="5635" width="21.08984375" style="283" customWidth="1"/>
    <col min="5636" max="5636" width="19.08984375" style="283" customWidth="1"/>
    <col min="5637" max="5637" width="15.08984375" style="283" customWidth="1"/>
    <col min="5638" max="5638" width="14.36328125" style="283" bestFit="1" customWidth="1"/>
    <col min="5639" max="5639" width="16.6328125" style="283" customWidth="1"/>
    <col min="5640" max="5888" width="9" style="283"/>
    <col min="5889" max="5889" width="4.6328125" style="283" customWidth="1"/>
    <col min="5890" max="5890" width="40.26953125" style="283" bestFit="1" customWidth="1"/>
    <col min="5891" max="5891" width="21.08984375" style="283" customWidth="1"/>
    <col min="5892" max="5892" width="19.08984375" style="283" customWidth="1"/>
    <col min="5893" max="5893" width="15.08984375" style="283" customWidth="1"/>
    <col min="5894" max="5894" width="14.36328125" style="283" bestFit="1" customWidth="1"/>
    <col min="5895" max="5895" width="16.6328125" style="283" customWidth="1"/>
    <col min="5896" max="6144" width="9" style="283"/>
    <col min="6145" max="6145" width="4.6328125" style="283" customWidth="1"/>
    <col min="6146" max="6146" width="40.26953125" style="283" bestFit="1" customWidth="1"/>
    <col min="6147" max="6147" width="21.08984375" style="283" customWidth="1"/>
    <col min="6148" max="6148" width="19.08984375" style="283" customWidth="1"/>
    <col min="6149" max="6149" width="15.08984375" style="283" customWidth="1"/>
    <col min="6150" max="6150" width="14.36328125" style="283" bestFit="1" customWidth="1"/>
    <col min="6151" max="6151" width="16.6328125" style="283" customWidth="1"/>
    <col min="6152" max="6400" width="9" style="283"/>
    <col min="6401" max="6401" width="4.6328125" style="283" customWidth="1"/>
    <col min="6402" max="6402" width="40.26953125" style="283" bestFit="1" customWidth="1"/>
    <col min="6403" max="6403" width="21.08984375" style="283" customWidth="1"/>
    <col min="6404" max="6404" width="19.08984375" style="283" customWidth="1"/>
    <col min="6405" max="6405" width="15.08984375" style="283" customWidth="1"/>
    <col min="6406" max="6406" width="14.36328125" style="283" bestFit="1" customWidth="1"/>
    <col min="6407" max="6407" width="16.6328125" style="283" customWidth="1"/>
    <col min="6408" max="6656" width="9" style="283"/>
    <col min="6657" max="6657" width="4.6328125" style="283" customWidth="1"/>
    <col min="6658" max="6658" width="40.26953125" style="283" bestFit="1" customWidth="1"/>
    <col min="6659" max="6659" width="21.08984375" style="283" customWidth="1"/>
    <col min="6660" max="6660" width="19.08984375" style="283" customWidth="1"/>
    <col min="6661" max="6661" width="15.08984375" style="283" customWidth="1"/>
    <col min="6662" max="6662" width="14.36328125" style="283" bestFit="1" customWidth="1"/>
    <col min="6663" max="6663" width="16.6328125" style="283" customWidth="1"/>
    <col min="6664" max="6912" width="9" style="283"/>
    <col min="6913" max="6913" width="4.6328125" style="283" customWidth="1"/>
    <col min="6914" max="6914" width="40.26953125" style="283" bestFit="1" customWidth="1"/>
    <col min="6915" max="6915" width="21.08984375" style="283" customWidth="1"/>
    <col min="6916" max="6916" width="19.08984375" style="283" customWidth="1"/>
    <col min="6917" max="6917" width="15.08984375" style="283" customWidth="1"/>
    <col min="6918" max="6918" width="14.36328125" style="283" bestFit="1" customWidth="1"/>
    <col min="6919" max="6919" width="16.6328125" style="283" customWidth="1"/>
    <col min="6920" max="7168" width="9" style="283"/>
    <col min="7169" max="7169" width="4.6328125" style="283" customWidth="1"/>
    <col min="7170" max="7170" width="40.26953125" style="283" bestFit="1" customWidth="1"/>
    <col min="7171" max="7171" width="21.08984375" style="283" customWidth="1"/>
    <col min="7172" max="7172" width="19.08984375" style="283" customWidth="1"/>
    <col min="7173" max="7173" width="15.08984375" style="283" customWidth="1"/>
    <col min="7174" max="7174" width="14.36328125" style="283" bestFit="1" customWidth="1"/>
    <col min="7175" max="7175" width="16.6328125" style="283" customWidth="1"/>
    <col min="7176" max="7424" width="9" style="283"/>
    <col min="7425" max="7425" width="4.6328125" style="283" customWidth="1"/>
    <col min="7426" max="7426" width="40.26953125" style="283" bestFit="1" customWidth="1"/>
    <col min="7427" max="7427" width="21.08984375" style="283" customWidth="1"/>
    <col min="7428" max="7428" width="19.08984375" style="283" customWidth="1"/>
    <col min="7429" max="7429" width="15.08984375" style="283" customWidth="1"/>
    <col min="7430" max="7430" width="14.36328125" style="283" bestFit="1" customWidth="1"/>
    <col min="7431" max="7431" width="16.6328125" style="283" customWidth="1"/>
    <col min="7432" max="7680" width="9" style="283"/>
    <col min="7681" max="7681" width="4.6328125" style="283" customWidth="1"/>
    <col min="7682" max="7682" width="40.26953125" style="283" bestFit="1" customWidth="1"/>
    <col min="7683" max="7683" width="21.08984375" style="283" customWidth="1"/>
    <col min="7684" max="7684" width="19.08984375" style="283" customWidth="1"/>
    <col min="7685" max="7685" width="15.08984375" style="283" customWidth="1"/>
    <col min="7686" max="7686" width="14.36328125" style="283" bestFit="1" customWidth="1"/>
    <col min="7687" max="7687" width="16.6328125" style="283" customWidth="1"/>
    <col min="7688" max="7936" width="9" style="283"/>
    <col min="7937" max="7937" width="4.6328125" style="283" customWidth="1"/>
    <col min="7938" max="7938" width="40.26953125" style="283" bestFit="1" customWidth="1"/>
    <col min="7939" max="7939" width="21.08984375" style="283" customWidth="1"/>
    <col min="7940" max="7940" width="19.08984375" style="283" customWidth="1"/>
    <col min="7941" max="7941" width="15.08984375" style="283" customWidth="1"/>
    <col min="7942" max="7942" width="14.36328125" style="283" bestFit="1" customWidth="1"/>
    <col min="7943" max="7943" width="16.6328125" style="283" customWidth="1"/>
    <col min="7944" max="8192" width="9" style="283"/>
    <col min="8193" max="8193" width="4.6328125" style="283" customWidth="1"/>
    <col min="8194" max="8194" width="40.26953125" style="283" bestFit="1" customWidth="1"/>
    <col min="8195" max="8195" width="21.08984375" style="283" customWidth="1"/>
    <col min="8196" max="8196" width="19.08984375" style="283" customWidth="1"/>
    <col min="8197" max="8197" width="15.08984375" style="283" customWidth="1"/>
    <col min="8198" max="8198" width="14.36328125" style="283" bestFit="1" customWidth="1"/>
    <col min="8199" max="8199" width="16.6328125" style="283" customWidth="1"/>
    <col min="8200" max="8448" width="9" style="283"/>
    <col min="8449" max="8449" width="4.6328125" style="283" customWidth="1"/>
    <col min="8450" max="8450" width="40.26953125" style="283" bestFit="1" customWidth="1"/>
    <col min="8451" max="8451" width="21.08984375" style="283" customWidth="1"/>
    <col min="8452" max="8452" width="19.08984375" style="283" customWidth="1"/>
    <col min="8453" max="8453" width="15.08984375" style="283" customWidth="1"/>
    <col min="8454" max="8454" width="14.36328125" style="283" bestFit="1" customWidth="1"/>
    <col min="8455" max="8455" width="16.6328125" style="283" customWidth="1"/>
    <col min="8456" max="8704" width="9" style="283"/>
    <col min="8705" max="8705" width="4.6328125" style="283" customWidth="1"/>
    <col min="8706" max="8706" width="40.26953125" style="283" bestFit="1" customWidth="1"/>
    <col min="8707" max="8707" width="21.08984375" style="283" customWidth="1"/>
    <col min="8708" max="8708" width="19.08984375" style="283" customWidth="1"/>
    <col min="8709" max="8709" width="15.08984375" style="283" customWidth="1"/>
    <col min="8710" max="8710" width="14.36328125" style="283" bestFit="1" customWidth="1"/>
    <col min="8711" max="8711" width="16.6328125" style="283" customWidth="1"/>
    <col min="8712" max="8960" width="9" style="283"/>
    <col min="8961" max="8961" width="4.6328125" style="283" customWidth="1"/>
    <col min="8962" max="8962" width="40.26953125" style="283" bestFit="1" customWidth="1"/>
    <col min="8963" max="8963" width="21.08984375" style="283" customWidth="1"/>
    <col min="8964" max="8964" width="19.08984375" style="283" customWidth="1"/>
    <col min="8965" max="8965" width="15.08984375" style="283" customWidth="1"/>
    <col min="8966" max="8966" width="14.36328125" style="283" bestFit="1" customWidth="1"/>
    <col min="8967" max="8967" width="16.6328125" style="283" customWidth="1"/>
    <col min="8968" max="9216" width="9" style="283"/>
    <col min="9217" max="9217" width="4.6328125" style="283" customWidth="1"/>
    <col min="9218" max="9218" width="40.26953125" style="283" bestFit="1" customWidth="1"/>
    <col min="9219" max="9219" width="21.08984375" style="283" customWidth="1"/>
    <col min="9220" max="9220" width="19.08984375" style="283" customWidth="1"/>
    <col min="9221" max="9221" width="15.08984375" style="283" customWidth="1"/>
    <col min="9222" max="9222" width="14.36328125" style="283" bestFit="1" customWidth="1"/>
    <col min="9223" max="9223" width="16.6328125" style="283" customWidth="1"/>
    <col min="9224" max="9472" width="9" style="283"/>
    <col min="9473" max="9473" width="4.6328125" style="283" customWidth="1"/>
    <col min="9474" max="9474" width="40.26953125" style="283" bestFit="1" customWidth="1"/>
    <col min="9475" max="9475" width="21.08984375" style="283" customWidth="1"/>
    <col min="9476" max="9476" width="19.08984375" style="283" customWidth="1"/>
    <col min="9477" max="9477" width="15.08984375" style="283" customWidth="1"/>
    <col min="9478" max="9478" width="14.36328125" style="283" bestFit="1" customWidth="1"/>
    <col min="9479" max="9479" width="16.6328125" style="283" customWidth="1"/>
    <col min="9480" max="9728" width="9" style="283"/>
    <col min="9729" max="9729" width="4.6328125" style="283" customWidth="1"/>
    <col min="9730" max="9730" width="40.26953125" style="283" bestFit="1" customWidth="1"/>
    <col min="9731" max="9731" width="21.08984375" style="283" customWidth="1"/>
    <col min="9732" max="9732" width="19.08984375" style="283" customWidth="1"/>
    <col min="9733" max="9733" width="15.08984375" style="283" customWidth="1"/>
    <col min="9734" max="9734" width="14.36328125" style="283" bestFit="1" customWidth="1"/>
    <col min="9735" max="9735" width="16.6328125" style="283" customWidth="1"/>
    <col min="9736" max="9984" width="9" style="283"/>
    <col min="9985" max="9985" width="4.6328125" style="283" customWidth="1"/>
    <col min="9986" max="9986" width="40.26953125" style="283" bestFit="1" customWidth="1"/>
    <col min="9987" max="9987" width="21.08984375" style="283" customWidth="1"/>
    <col min="9988" max="9988" width="19.08984375" style="283" customWidth="1"/>
    <col min="9989" max="9989" width="15.08984375" style="283" customWidth="1"/>
    <col min="9990" max="9990" width="14.36328125" style="283" bestFit="1" customWidth="1"/>
    <col min="9991" max="9991" width="16.6328125" style="283" customWidth="1"/>
    <col min="9992" max="10240" width="9" style="283"/>
    <col min="10241" max="10241" width="4.6328125" style="283" customWidth="1"/>
    <col min="10242" max="10242" width="40.26953125" style="283" bestFit="1" customWidth="1"/>
    <col min="10243" max="10243" width="21.08984375" style="283" customWidth="1"/>
    <col min="10244" max="10244" width="19.08984375" style="283" customWidth="1"/>
    <col min="10245" max="10245" width="15.08984375" style="283" customWidth="1"/>
    <col min="10246" max="10246" width="14.36328125" style="283" bestFit="1" customWidth="1"/>
    <col min="10247" max="10247" width="16.6328125" style="283" customWidth="1"/>
    <col min="10248" max="10496" width="9" style="283"/>
    <col min="10497" max="10497" width="4.6328125" style="283" customWidth="1"/>
    <col min="10498" max="10498" width="40.26953125" style="283" bestFit="1" customWidth="1"/>
    <col min="10499" max="10499" width="21.08984375" style="283" customWidth="1"/>
    <col min="10500" max="10500" width="19.08984375" style="283" customWidth="1"/>
    <col min="10501" max="10501" width="15.08984375" style="283" customWidth="1"/>
    <col min="10502" max="10502" width="14.36328125" style="283" bestFit="1" customWidth="1"/>
    <col min="10503" max="10503" width="16.6328125" style="283" customWidth="1"/>
    <col min="10504" max="10752" width="9" style="283"/>
    <col min="10753" max="10753" width="4.6328125" style="283" customWidth="1"/>
    <col min="10754" max="10754" width="40.26953125" style="283" bestFit="1" customWidth="1"/>
    <col min="10755" max="10755" width="21.08984375" style="283" customWidth="1"/>
    <col min="10756" max="10756" width="19.08984375" style="283" customWidth="1"/>
    <col min="10757" max="10757" width="15.08984375" style="283" customWidth="1"/>
    <col min="10758" max="10758" width="14.36328125" style="283" bestFit="1" customWidth="1"/>
    <col min="10759" max="10759" width="16.6328125" style="283" customWidth="1"/>
    <col min="10760" max="11008" width="9" style="283"/>
    <col min="11009" max="11009" width="4.6328125" style="283" customWidth="1"/>
    <col min="11010" max="11010" width="40.26953125" style="283" bestFit="1" customWidth="1"/>
    <col min="11011" max="11011" width="21.08984375" style="283" customWidth="1"/>
    <col min="11012" max="11012" width="19.08984375" style="283" customWidth="1"/>
    <col min="11013" max="11013" width="15.08984375" style="283" customWidth="1"/>
    <col min="11014" max="11014" width="14.36328125" style="283" bestFit="1" customWidth="1"/>
    <col min="11015" max="11015" width="16.6328125" style="283" customWidth="1"/>
    <col min="11016" max="11264" width="9" style="283"/>
    <col min="11265" max="11265" width="4.6328125" style="283" customWidth="1"/>
    <col min="11266" max="11266" width="40.26953125" style="283" bestFit="1" customWidth="1"/>
    <col min="11267" max="11267" width="21.08984375" style="283" customWidth="1"/>
    <col min="11268" max="11268" width="19.08984375" style="283" customWidth="1"/>
    <col min="11269" max="11269" width="15.08984375" style="283" customWidth="1"/>
    <col min="11270" max="11270" width="14.36328125" style="283" bestFit="1" customWidth="1"/>
    <col min="11271" max="11271" width="16.6328125" style="283" customWidth="1"/>
    <col min="11272" max="11520" width="9" style="283"/>
    <col min="11521" max="11521" width="4.6328125" style="283" customWidth="1"/>
    <col min="11522" max="11522" width="40.26953125" style="283" bestFit="1" customWidth="1"/>
    <col min="11523" max="11523" width="21.08984375" style="283" customWidth="1"/>
    <col min="11524" max="11524" width="19.08984375" style="283" customWidth="1"/>
    <col min="11525" max="11525" width="15.08984375" style="283" customWidth="1"/>
    <col min="11526" max="11526" width="14.36328125" style="283" bestFit="1" customWidth="1"/>
    <col min="11527" max="11527" width="16.6328125" style="283" customWidth="1"/>
    <col min="11528" max="11776" width="9" style="283"/>
    <col min="11777" max="11777" width="4.6328125" style="283" customWidth="1"/>
    <col min="11778" max="11778" width="40.26953125" style="283" bestFit="1" customWidth="1"/>
    <col min="11779" max="11779" width="21.08984375" style="283" customWidth="1"/>
    <col min="11780" max="11780" width="19.08984375" style="283" customWidth="1"/>
    <col min="11781" max="11781" width="15.08984375" style="283" customWidth="1"/>
    <col min="11782" max="11782" width="14.36328125" style="283" bestFit="1" customWidth="1"/>
    <col min="11783" max="11783" width="16.6328125" style="283" customWidth="1"/>
    <col min="11784" max="12032" width="9" style="283"/>
    <col min="12033" max="12033" width="4.6328125" style="283" customWidth="1"/>
    <col min="12034" max="12034" width="40.26953125" style="283" bestFit="1" customWidth="1"/>
    <col min="12035" max="12035" width="21.08984375" style="283" customWidth="1"/>
    <col min="12036" max="12036" width="19.08984375" style="283" customWidth="1"/>
    <col min="12037" max="12037" width="15.08984375" style="283" customWidth="1"/>
    <col min="12038" max="12038" width="14.36328125" style="283" bestFit="1" customWidth="1"/>
    <col min="12039" max="12039" width="16.6328125" style="283" customWidth="1"/>
    <col min="12040" max="12288" width="9" style="283"/>
    <col min="12289" max="12289" width="4.6328125" style="283" customWidth="1"/>
    <col min="12290" max="12290" width="40.26953125" style="283" bestFit="1" customWidth="1"/>
    <col min="12291" max="12291" width="21.08984375" style="283" customWidth="1"/>
    <col min="12292" max="12292" width="19.08984375" style="283" customWidth="1"/>
    <col min="12293" max="12293" width="15.08984375" style="283" customWidth="1"/>
    <col min="12294" max="12294" width="14.36328125" style="283" bestFit="1" customWidth="1"/>
    <col min="12295" max="12295" width="16.6328125" style="283" customWidth="1"/>
    <col min="12296" max="12544" width="9" style="283"/>
    <col min="12545" max="12545" width="4.6328125" style="283" customWidth="1"/>
    <col min="12546" max="12546" width="40.26953125" style="283" bestFit="1" customWidth="1"/>
    <col min="12547" max="12547" width="21.08984375" style="283" customWidth="1"/>
    <col min="12548" max="12548" width="19.08984375" style="283" customWidth="1"/>
    <col min="12549" max="12549" width="15.08984375" style="283" customWidth="1"/>
    <col min="12550" max="12550" width="14.36328125" style="283" bestFit="1" customWidth="1"/>
    <col min="12551" max="12551" width="16.6328125" style="283" customWidth="1"/>
    <col min="12552" max="12800" width="9" style="283"/>
    <col min="12801" max="12801" width="4.6328125" style="283" customWidth="1"/>
    <col min="12802" max="12802" width="40.26953125" style="283" bestFit="1" customWidth="1"/>
    <col min="12803" max="12803" width="21.08984375" style="283" customWidth="1"/>
    <col min="12804" max="12804" width="19.08984375" style="283" customWidth="1"/>
    <col min="12805" max="12805" width="15.08984375" style="283" customWidth="1"/>
    <col min="12806" max="12806" width="14.36328125" style="283" bestFit="1" customWidth="1"/>
    <col min="12807" max="12807" width="16.6328125" style="283" customWidth="1"/>
    <col min="12808" max="13056" width="9" style="283"/>
    <col min="13057" max="13057" width="4.6328125" style="283" customWidth="1"/>
    <col min="13058" max="13058" width="40.26953125" style="283" bestFit="1" customWidth="1"/>
    <col min="13059" max="13059" width="21.08984375" style="283" customWidth="1"/>
    <col min="13060" max="13060" width="19.08984375" style="283" customWidth="1"/>
    <col min="13061" max="13061" width="15.08984375" style="283" customWidth="1"/>
    <col min="13062" max="13062" width="14.36328125" style="283" bestFit="1" customWidth="1"/>
    <col min="13063" max="13063" width="16.6328125" style="283" customWidth="1"/>
    <col min="13064" max="13312" width="9" style="283"/>
    <col min="13313" max="13313" width="4.6328125" style="283" customWidth="1"/>
    <col min="13314" max="13314" width="40.26953125" style="283" bestFit="1" customWidth="1"/>
    <col min="13315" max="13315" width="21.08984375" style="283" customWidth="1"/>
    <col min="13316" max="13316" width="19.08984375" style="283" customWidth="1"/>
    <col min="13317" max="13317" width="15.08984375" style="283" customWidth="1"/>
    <col min="13318" max="13318" width="14.36328125" style="283" bestFit="1" customWidth="1"/>
    <col min="13319" max="13319" width="16.6328125" style="283" customWidth="1"/>
    <col min="13320" max="13568" width="9" style="283"/>
    <col min="13569" max="13569" width="4.6328125" style="283" customWidth="1"/>
    <col min="13570" max="13570" width="40.26953125" style="283" bestFit="1" customWidth="1"/>
    <col min="13571" max="13571" width="21.08984375" style="283" customWidth="1"/>
    <col min="13572" max="13572" width="19.08984375" style="283" customWidth="1"/>
    <col min="13573" max="13573" width="15.08984375" style="283" customWidth="1"/>
    <col min="13574" max="13574" width="14.36328125" style="283" bestFit="1" customWidth="1"/>
    <col min="13575" max="13575" width="16.6328125" style="283" customWidth="1"/>
    <col min="13576" max="13824" width="9" style="283"/>
    <col min="13825" max="13825" width="4.6328125" style="283" customWidth="1"/>
    <col min="13826" max="13826" width="40.26953125" style="283" bestFit="1" customWidth="1"/>
    <col min="13827" max="13827" width="21.08984375" style="283" customWidth="1"/>
    <col min="13828" max="13828" width="19.08984375" style="283" customWidth="1"/>
    <col min="13829" max="13829" width="15.08984375" style="283" customWidth="1"/>
    <col min="13830" max="13830" width="14.36328125" style="283" bestFit="1" customWidth="1"/>
    <col min="13831" max="13831" width="16.6328125" style="283" customWidth="1"/>
    <col min="13832" max="14080" width="9" style="283"/>
    <col min="14081" max="14081" width="4.6328125" style="283" customWidth="1"/>
    <col min="14082" max="14082" width="40.26953125" style="283" bestFit="1" customWidth="1"/>
    <col min="14083" max="14083" width="21.08984375" style="283" customWidth="1"/>
    <col min="14084" max="14084" width="19.08984375" style="283" customWidth="1"/>
    <col min="14085" max="14085" width="15.08984375" style="283" customWidth="1"/>
    <col min="14086" max="14086" width="14.36328125" style="283" bestFit="1" customWidth="1"/>
    <col min="14087" max="14087" width="16.6328125" style="283" customWidth="1"/>
    <col min="14088" max="14336" width="9" style="283"/>
    <col min="14337" max="14337" width="4.6328125" style="283" customWidth="1"/>
    <col min="14338" max="14338" width="40.26953125" style="283" bestFit="1" customWidth="1"/>
    <col min="14339" max="14339" width="21.08984375" style="283" customWidth="1"/>
    <col min="14340" max="14340" width="19.08984375" style="283" customWidth="1"/>
    <col min="14341" max="14341" width="15.08984375" style="283" customWidth="1"/>
    <col min="14342" max="14342" width="14.36328125" style="283" bestFit="1" customWidth="1"/>
    <col min="14343" max="14343" width="16.6328125" style="283" customWidth="1"/>
    <col min="14344" max="14592" width="9" style="283"/>
    <col min="14593" max="14593" width="4.6328125" style="283" customWidth="1"/>
    <col min="14594" max="14594" width="40.26953125" style="283" bestFit="1" customWidth="1"/>
    <col min="14595" max="14595" width="21.08984375" style="283" customWidth="1"/>
    <col min="14596" max="14596" width="19.08984375" style="283" customWidth="1"/>
    <col min="14597" max="14597" width="15.08984375" style="283" customWidth="1"/>
    <col min="14598" max="14598" width="14.36328125" style="283" bestFit="1" customWidth="1"/>
    <col min="14599" max="14599" width="16.6328125" style="283" customWidth="1"/>
    <col min="14600" max="14848" width="9" style="283"/>
    <col min="14849" max="14849" width="4.6328125" style="283" customWidth="1"/>
    <col min="14850" max="14850" width="40.26953125" style="283" bestFit="1" customWidth="1"/>
    <col min="14851" max="14851" width="21.08984375" style="283" customWidth="1"/>
    <col min="14852" max="14852" width="19.08984375" style="283" customWidth="1"/>
    <col min="14853" max="14853" width="15.08984375" style="283" customWidth="1"/>
    <col min="14854" max="14854" width="14.36328125" style="283" bestFit="1" customWidth="1"/>
    <col min="14855" max="14855" width="16.6328125" style="283" customWidth="1"/>
    <col min="14856" max="15104" width="9" style="283"/>
    <col min="15105" max="15105" width="4.6328125" style="283" customWidth="1"/>
    <col min="15106" max="15106" width="40.26953125" style="283" bestFit="1" customWidth="1"/>
    <col min="15107" max="15107" width="21.08984375" style="283" customWidth="1"/>
    <col min="15108" max="15108" width="19.08984375" style="283" customWidth="1"/>
    <col min="15109" max="15109" width="15.08984375" style="283" customWidth="1"/>
    <col min="15110" max="15110" width="14.36328125" style="283" bestFit="1" customWidth="1"/>
    <col min="15111" max="15111" width="16.6328125" style="283" customWidth="1"/>
    <col min="15112" max="15360" width="9" style="283"/>
    <col min="15361" max="15361" width="4.6328125" style="283" customWidth="1"/>
    <col min="15362" max="15362" width="40.26953125" style="283" bestFit="1" customWidth="1"/>
    <col min="15363" max="15363" width="21.08984375" style="283" customWidth="1"/>
    <col min="15364" max="15364" width="19.08984375" style="283" customWidth="1"/>
    <col min="15365" max="15365" width="15.08984375" style="283" customWidth="1"/>
    <col min="15366" max="15366" width="14.36328125" style="283" bestFit="1" customWidth="1"/>
    <col min="15367" max="15367" width="16.6328125" style="283" customWidth="1"/>
    <col min="15368" max="15616" width="9" style="283"/>
    <col min="15617" max="15617" width="4.6328125" style="283" customWidth="1"/>
    <col min="15618" max="15618" width="40.26953125" style="283" bestFit="1" customWidth="1"/>
    <col min="15619" max="15619" width="21.08984375" style="283" customWidth="1"/>
    <col min="15620" max="15620" width="19.08984375" style="283" customWidth="1"/>
    <col min="15621" max="15621" width="15.08984375" style="283" customWidth="1"/>
    <col min="15622" max="15622" width="14.36328125" style="283" bestFit="1" customWidth="1"/>
    <col min="15623" max="15623" width="16.6328125" style="283" customWidth="1"/>
    <col min="15624" max="15872" width="9" style="283"/>
    <col min="15873" max="15873" width="4.6328125" style="283" customWidth="1"/>
    <col min="15874" max="15874" width="40.26953125" style="283" bestFit="1" customWidth="1"/>
    <col min="15875" max="15875" width="21.08984375" style="283" customWidth="1"/>
    <col min="15876" max="15876" width="19.08984375" style="283" customWidth="1"/>
    <col min="15877" max="15877" width="15.08984375" style="283" customWidth="1"/>
    <col min="15878" max="15878" width="14.36328125" style="283" bestFit="1" customWidth="1"/>
    <col min="15879" max="15879" width="16.6328125" style="283" customWidth="1"/>
    <col min="15880" max="16128" width="9" style="283"/>
    <col min="16129" max="16129" width="4.6328125" style="283" customWidth="1"/>
    <col min="16130" max="16130" width="40.26953125" style="283" bestFit="1" customWidth="1"/>
    <col min="16131" max="16131" width="21.08984375" style="283" customWidth="1"/>
    <col min="16132" max="16132" width="19.08984375" style="283" customWidth="1"/>
    <col min="16133" max="16133" width="15.08984375" style="283" customWidth="1"/>
    <col min="16134" max="16134" width="14.36328125" style="283" bestFit="1" customWidth="1"/>
    <col min="16135" max="16135" width="16.6328125" style="283" customWidth="1"/>
    <col min="16136" max="16384" width="9" style="283"/>
  </cols>
  <sheetData>
    <row r="1" spans="1:15" x14ac:dyDescent="0.35">
      <c r="A1" s="1011" t="s">
        <v>218</v>
      </c>
      <c r="B1" s="1011"/>
      <c r="G1" s="282" t="s">
        <v>326</v>
      </c>
      <c r="I1" s="1011" t="s">
        <v>218</v>
      </c>
      <c r="J1" s="1011"/>
      <c r="K1" s="281"/>
      <c r="L1" s="281"/>
      <c r="M1" s="281"/>
      <c r="N1" s="281"/>
      <c r="O1" s="282" t="s">
        <v>229</v>
      </c>
    </row>
    <row r="2" spans="1:15" ht="62" x14ac:dyDescent="0.35">
      <c r="A2" s="1012" t="s">
        <v>0</v>
      </c>
      <c r="B2" s="1012"/>
      <c r="C2" s="527" t="s">
        <v>636</v>
      </c>
      <c r="G2" s="284" t="s">
        <v>327</v>
      </c>
      <c r="I2" s="1012" t="s">
        <v>0</v>
      </c>
      <c r="J2" s="1012"/>
      <c r="K2" s="281"/>
      <c r="L2" s="281"/>
      <c r="M2" s="281"/>
      <c r="N2" s="281"/>
      <c r="O2" s="285" t="s">
        <v>327</v>
      </c>
    </row>
    <row r="3" spans="1:15" ht="57" customHeight="1" x14ac:dyDescent="0.35">
      <c r="A3" s="1013" t="s">
        <v>371</v>
      </c>
      <c r="B3" s="1013"/>
      <c r="C3" s="1013"/>
      <c r="D3" s="1013"/>
      <c r="E3" s="1013"/>
      <c r="F3" s="1013"/>
      <c r="G3" s="1013"/>
      <c r="I3" s="1013" t="s">
        <v>371</v>
      </c>
      <c r="J3" s="1013"/>
      <c r="K3" s="1013"/>
      <c r="L3" s="1013"/>
      <c r="M3" s="1013"/>
      <c r="N3" s="1013"/>
      <c r="O3" s="1013"/>
    </row>
    <row r="4" spans="1:15" s="288" customFormat="1" ht="75" x14ac:dyDescent="0.3">
      <c r="A4" s="286" t="s">
        <v>5</v>
      </c>
      <c r="B4" s="287" t="s">
        <v>328</v>
      </c>
      <c r="C4" s="287" t="s">
        <v>329</v>
      </c>
      <c r="D4" s="287" t="s">
        <v>330</v>
      </c>
      <c r="E4" s="287" t="s">
        <v>331</v>
      </c>
      <c r="F4" s="287" t="s">
        <v>332</v>
      </c>
      <c r="G4" s="287" t="s">
        <v>16</v>
      </c>
      <c r="I4" s="286" t="s">
        <v>5</v>
      </c>
      <c r="J4" s="287" t="s">
        <v>328</v>
      </c>
      <c r="K4" s="287" t="s">
        <v>329</v>
      </c>
      <c r="L4" s="287" t="s">
        <v>330</v>
      </c>
      <c r="M4" s="287" t="s">
        <v>331</v>
      </c>
      <c r="N4" s="287" t="s">
        <v>332</v>
      </c>
      <c r="O4" s="287" t="s">
        <v>16</v>
      </c>
    </row>
    <row r="5" spans="1:15" s="288" customFormat="1" ht="15" x14ac:dyDescent="0.3">
      <c r="A5" s="286"/>
      <c r="B5" s="729" t="s">
        <v>720</v>
      </c>
      <c r="C5" s="287"/>
      <c r="D5" s="287"/>
      <c r="E5" s="287"/>
      <c r="F5" s="287"/>
      <c r="G5" s="287"/>
      <c r="I5" s="286"/>
      <c r="J5" s="287"/>
      <c r="K5" s="287"/>
      <c r="L5" s="287"/>
      <c r="M5" s="287"/>
      <c r="N5" s="287"/>
      <c r="O5" s="287"/>
    </row>
    <row r="6" spans="1:15" x14ac:dyDescent="0.35">
      <c r="A6" s="289">
        <v>1</v>
      </c>
      <c r="B6" s="730" t="s">
        <v>361</v>
      </c>
      <c r="C6" s="291"/>
      <c r="D6" s="291"/>
      <c r="E6" s="291"/>
      <c r="F6" s="291"/>
      <c r="G6" s="292"/>
      <c r="I6" s="289">
        <v>1</v>
      </c>
      <c r="J6" s="730" t="s">
        <v>361</v>
      </c>
      <c r="K6" s="291"/>
      <c r="L6" s="291"/>
      <c r="M6" s="291"/>
      <c r="N6" s="291"/>
      <c r="O6" s="292"/>
    </row>
    <row r="7" spans="1:15" s="288" customFormat="1" x14ac:dyDescent="0.35">
      <c r="A7" s="289"/>
      <c r="B7" s="290" t="s">
        <v>722</v>
      </c>
      <c r="C7" s="732">
        <v>1298937771</v>
      </c>
      <c r="D7" s="732">
        <v>451059834.94378763</v>
      </c>
      <c r="E7" s="732">
        <v>326020808.88000005</v>
      </c>
      <c r="F7" s="732">
        <v>2076018414.8237877</v>
      </c>
      <c r="G7" s="292"/>
      <c r="I7" s="286"/>
      <c r="J7" s="290" t="s">
        <v>722</v>
      </c>
      <c r="K7" s="732">
        <f>1298937771/1000</f>
        <v>1298937.7709999999</v>
      </c>
      <c r="L7" s="732">
        <f>451059834.943788/1000</f>
        <v>451059.83494378801</v>
      </c>
      <c r="M7" s="732">
        <f>326020808.88/1000</f>
        <v>326020.80887999997</v>
      </c>
      <c r="N7" s="732">
        <f>2076018414.82379/1000</f>
        <v>2076018.4148237901</v>
      </c>
      <c r="O7" s="292"/>
    </row>
    <row r="8" spans="1:15" s="288" customFormat="1" x14ac:dyDescent="0.35">
      <c r="A8" s="289"/>
      <c r="B8" s="290" t="s">
        <v>723</v>
      </c>
      <c r="C8" s="732">
        <v>1677215623.6199999</v>
      </c>
      <c r="D8" s="732">
        <v>905329917.12504196</v>
      </c>
      <c r="E8" s="732">
        <v>394927325.04000002</v>
      </c>
      <c r="F8" s="732">
        <v>2977472865.7850423</v>
      </c>
      <c r="G8" s="292"/>
      <c r="I8" s="286"/>
      <c r="J8" s="290" t="s">
        <v>723</v>
      </c>
      <c r="K8" s="732">
        <f>1677215623.62/1000</f>
        <v>1677215.62362</v>
      </c>
      <c r="L8" s="732">
        <f>905329917.125042/1000</f>
        <v>905329.91712504195</v>
      </c>
      <c r="M8" s="732">
        <f>394927325.04/1000</f>
        <v>394927.32504000003</v>
      </c>
      <c r="N8" s="732">
        <f>2977472865.78504/1000</f>
        <v>2977472.86578504</v>
      </c>
      <c r="O8" s="292"/>
    </row>
    <row r="9" spans="1:15" s="288" customFormat="1" x14ac:dyDescent="0.35">
      <c r="A9" s="289"/>
      <c r="B9" s="290" t="s">
        <v>724</v>
      </c>
      <c r="C9" s="732">
        <v>1257446878.8839998</v>
      </c>
      <c r="D9" s="732">
        <v>1469674372.1349423</v>
      </c>
      <c r="E9" s="732">
        <v>295536295.72800004</v>
      </c>
      <c r="F9" s="732">
        <v>3022657546.746943</v>
      </c>
      <c r="G9" s="292"/>
      <c r="I9" s="286"/>
      <c r="J9" s="290" t="s">
        <v>724</v>
      </c>
      <c r="K9" s="732">
        <f>1257446878.884/1000</f>
        <v>1257446.878884</v>
      </c>
      <c r="L9" s="732">
        <f>1469674372.13494/1000</f>
        <v>1469674.37213494</v>
      </c>
      <c r="M9" s="732">
        <f>295536295.728/1000</f>
        <v>295536.295728</v>
      </c>
      <c r="N9" s="732">
        <f>3022657546.74694/1000</f>
        <v>3022657.5467469404</v>
      </c>
      <c r="O9" s="292"/>
    </row>
    <row r="10" spans="1:15" s="288" customFormat="1" x14ac:dyDescent="0.35">
      <c r="A10" s="289"/>
      <c r="B10" s="290" t="s">
        <v>725</v>
      </c>
      <c r="C10" s="732">
        <v>1260051667.7399998</v>
      </c>
      <c r="D10" s="732">
        <v>1767736120.3655221</v>
      </c>
      <c r="E10" s="732">
        <v>296421184.08000004</v>
      </c>
      <c r="F10" s="732">
        <v>3324208972.1855221</v>
      </c>
      <c r="G10" s="292"/>
      <c r="I10" s="286"/>
      <c r="J10" s="290" t="s">
        <v>725</v>
      </c>
      <c r="K10" s="732">
        <f>1260051667.74/1000</f>
        <v>1260051.6677399999</v>
      </c>
      <c r="L10" s="732">
        <f>1767736120.36552/1000</f>
        <v>1767736.12036552</v>
      </c>
      <c r="M10" s="732">
        <f>296421184.08/1000</f>
        <v>296421.18407999998</v>
      </c>
      <c r="N10" s="732">
        <f>3324208972.18552/1000</f>
        <v>3324208.97218552</v>
      </c>
      <c r="O10" s="292"/>
    </row>
    <row r="11" spans="1:15" s="288" customFormat="1" x14ac:dyDescent="0.35">
      <c r="A11" s="289"/>
      <c r="B11" s="290" t="s">
        <v>726</v>
      </c>
      <c r="C11" s="732">
        <v>2082287215.8000002</v>
      </c>
      <c r="D11" s="732">
        <v>544775790.87479448</v>
      </c>
      <c r="E11" s="732">
        <v>515352021.60000002</v>
      </c>
      <c r="F11" s="732">
        <v>3142415028.2747951</v>
      </c>
      <c r="G11" s="292"/>
      <c r="I11" s="286"/>
      <c r="J11" s="290" t="s">
        <v>726</v>
      </c>
      <c r="K11" s="732">
        <f>2082287215.8/1000</f>
        <v>2082287.2157999999</v>
      </c>
      <c r="L11" s="732">
        <f>544775790.874794/1000</f>
        <v>544775.79087479401</v>
      </c>
      <c r="M11" s="732">
        <f>515352021.6/1000</f>
        <v>515352.02160000004</v>
      </c>
      <c r="N11" s="732">
        <f>3142415028.2748/1000</f>
        <v>3142415.0282747997</v>
      </c>
      <c r="O11" s="292"/>
    </row>
    <row r="12" spans="1:15" s="288" customFormat="1" x14ac:dyDescent="0.35">
      <c r="A12" s="289"/>
      <c r="B12" s="290" t="s">
        <v>727</v>
      </c>
      <c r="C12" s="732">
        <v>1707763557.8399999</v>
      </c>
      <c r="D12" s="732">
        <v>521428225.4325158</v>
      </c>
      <c r="E12" s="732">
        <v>398846585.28000003</v>
      </c>
      <c r="F12" s="732">
        <v>2628038368.552516</v>
      </c>
      <c r="G12" s="292"/>
      <c r="I12" s="286"/>
      <c r="J12" s="290" t="s">
        <v>727</v>
      </c>
      <c r="K12" s="732">
        <f>1707763557.84/1000</f>
        <v>1707763.5578399999</v>
      </c>
      <c r="L12" s="732">
        <f>521428225.432516/1000</f>
        <v>521428.22543251596</v>
      </c>
      <c r="M12" s="732">
        <f>398846585.28/1000</f>
        <v>398846.58528</v>
      </c>
      <c r="N12" s="732">
        <f>2628038368.55252/1000</f>
        <v>2628038.3685525199</v>
      </c>
      <c r="O12" s="292"/>
    </row>
    <row r="13" spans="1:15" s="288" customFormat="1" x14ac:dyDescent="0.35">
      <c r="A13" s="289"/>
      <c r="B13" s="290" t="s">
        <v>728</v>
      </c>
      <c r="C13" s="732">
        <v>2496654075.6599998</v>
      </c>
      <c r="D13" s="732">
        <v>911311868.64822686</v>
      </c>
      <c r="E13" s="732">
        <v>588400296.72000003</v>
      </c>
      <c r="F13" s="732">
        <v>3996366241.0282278</v>
      </c>
      <c r="G13" s="292"/>
      <c r="I13" s="286"/>
      <c r="J13" s="290" t="s">
        <v>728</v>
      </c>
      <c r="K13" s="732">
        <f>2496654075.66/1000</f>
        <v>2496654.0756599996</v>
      </c>
      <c r="L13" s="732">
        <f>911311868.648227/1000</f>
        <v>911311.86864822695</v>
      </c>
      <c r="M13" s="732">
        <f>588400296.72/1000</f>
        <v>588400.29671999998</v>
      </c>
      <c r="N13" s="732">
        <f>3996366241.02823/1000</f>
        <v>3996366.2410282302</v>
      </c>
      <c r="O13" s="292"/>
    </row>
    <row r="14" spans="1:15" s="288" customFormat="1" x14ac:dyDescent="0.35">
      <c r="A14" s="289"/>
      <c r="B14" s="290" t="s">
        <v>729</v>
      </c>
      <c r="C14" s="732">
        <v>1566879374.46</v>
      </c>
      <c r="D14" s="732">
        <v>433505312.98064876</v>
      </c>
      <c r="E14" s="732">
        <v>413538187.92000002</v>
      </c>
      <c r="F14" s="732">
        <v>2413922875.3606491</v>
      </c>
      <c r="G14" s="292"/>
      <c r="I14" s="286"/>
      <c r="J14" s="290" t="s">
        <v>729</v>
      </c>
      <c r="K14" s="732">
        <f>1566879374.46/1000</f>
        <v>1566879.3744600001</v>
      </c>
      <c r="L14" s="732">
        <f>433505312.980649/1000</f>
        <v>433505.312980649</v>
      </c>
      <c r="M14" s="732">
        <f>413538187.92/1000</f>
        <v>413538.18792</v>
      </c>
      <c r="N14" s="732">
        <f>2413922875.36065/1000</f>
        <v>2413922.87536065</v>
      </c>
      <c r="O14" s="292"/>
    </row>
    <row r="15" spans="1:15" s="288" customFormat="1" x14ac:dyDescent="0.35">
      <c r="A15" s="289"/>
      <c r="B15" s="290" t="s">
        <v>730</v>
      </c>
      <c r="C15" s="732">
        <v>2247729055.3260002</v>
      </c>
      <c r="D15" s="732">
        <v>1696279976.7052901</v>
      </c>
      <c r="E15" s="732">
        <v>532723396.39200002</v>
      </c>
      <c r="F15" s="732">
        <v>4476732428.4232912</v>
      </c>
      <c r="G15" s="292"/>
      <c r="I15" s="286"/>
      <c r="J15" s="290" t="s">
        <v>730</v>
      </c>
      <c r="K15" s="732">
        <f>2247729055.326/1000</f>
        <v>2247729.0553260003</v>
      </c>
      <c r="L15" s="732">
        <f>1696279976.70529/1000</f>
        <v>1696279.9767052901</v>
      </c>
      <c r="M15" s="732">
        <f>532723396.392/1000</f>
        <v>532723.39639200002</v>
      </c>
      <c r="N15" s="732">
        <f>4476732428.42329/1000</f>
        <v>4476732.4284232901</v>
      </c>
      <c r="O15" s="292"/>
    </row>
    <row r="16" spans="1:15" s="288" customFormat="1" x14ac:dyDescent="0.35">
      <c r="A16" s="289"/>
      <c r="B16" s="290" t="s">
        <v>731</v>
      </c>
      <c r="C16" s="732">
        <v>581274997.44000006</v>
      </c>
      <c r="D16" s="732">
        <v>412239722.05003357</v>
      </c>
      <c r="E16" s="732">
        <v>139179636.48000002</v>
      </c>
      <c r="F16" s="732">
        <v>1132694355.9700336</v>
      </c>
      <c r="G16" s="292"/>
      <c r="I16" s="286"/>
      <c r="J16" s="290" t="s">
        <v>731</v>
      </c>
      <c r="K16" s="732">
        <f>581274997.44/1000</f>
        <v>581274.99744000006</v>
      </c>
      <c r="L16" s="732">
        <f>412239722.050034/1000</f>
        <v>412239.72205003398</v>
      </c>
      <c r="M16" s="732">
        <f>139179636.48/1000</f>
        <v>139179.63647999999</v>
      </c>
      <c r="N16" s="732">
        <f>1132694355.97003/1000</f>
        <v>1132694.3559700302</v>
      </c>
      <c r="O16" s="292"/>
    </row>
    <row r="17" spans="1:15" s="288" customFormat="1" x14ac:dyDescent="0.35">
      <c r="A17" s="289"/>
      <c r="B17" s="290" t="s">
        <v>732</v>
      </c>
      <c r="C17" s="732">
        <v>3883786093.9200001</v>
      </c>
      <c r="D17" s="732">
        <v>1429721053.7739069</v>
      </c>
      <c r="E17" s="732">
        <v>998109804.48000026</v>
      </c>
      <c r="F17" s="732">
        <v>6311616952.1739063</v>
      </c>
      <c r="G17" s="292"/>
      <c r="I17" s="286"/>
      <c r="J17" s="290" t="s">
        <v>732</v>
      </c>
      <c r="K17" s="732">
        <f>3883786093.92/1000</f>
        <v>3883786.0939199999</v>
      </c>
      <c r="L17" s="732">
        <f>1429721053.77391/1000</f>
        <v>1429721.05377391</v>
      </c>
      <c r="M17" s="732">
        <f>998109804.48/1000</f>
        <v>998109.80448000005</v>
      </c>
      <c r="N17" s="732">
        <f>6311616952.17391/1000</f>
        <v>6311616.9521739101</v>
      </c>
      <c r="O17" s="292"/>
    </row>
    <row r="18" spans="1:15" s="288" customFormat="1" x14ac:dyDescent="0.35">
      <c r="A18" s="289"/>
      <c r="B18" s="290" t="s">
        <v>733</v>
      </c>
      <c r="C18" s="732">
        <v>1359734142.6599998</v>
      </c>
      <c r="D18" s="732">
        <v>470449131.8606897</v>
      </c>
      <c r="E18" s="732">
        <v>338150028.72000009</v>
      </c>
      <c r="F18" s="732">
        <v>2168333303.2406898</v>
      </c>
      <c r="G18" s="292"/>
      <c r="I18" s="286"/>
      <c r="J18" s="290" t="s">
        <v>733</v>
      </c>
      <c r="K18" s="732">
        <f>1359734142.66/1000</f>
        <v>1359734.1426600001</v>
      </c>
      <c r="L18" s="732">
        <f>470449131.86069/1000</f>
        <v>470449.13186069002</v>
      </c>
      <c r="M18" s="732">
        <f>338150028.72/1000</f>
        <v>338150.02872</v>
      </c>
      <c r="N18" s="732">
        <f>2168333303.24069/1000</f>
        <v>2168333.3032406904</v>
      </c>
      <c r="O18" s="292"/>
    </row>
    <row r="19" spans="1:15" s="288" customFormat="1" ht="31" x14ac:dyDescent="0.35">
      <c r="A19" s="289"/>
      <c r="B19" s="290" t="s">
        <v>734</v>
      </c>
      <c r="C19" s="732">
        <v>500801657.28000003</v>
      </c>
      <c r="D19" s="732">
        <v>274626291.9284035</v>
      </c>
      <c r="E19" s="732">
        <v>120081221.76000002</v>
      </c>
      <c r="F19" s="732">
        <v>895509170.96840346</v>
      </c>
      <c r="G19" s="292"/>
      <c r="I19" s="286"/>
      <c r="J19" s="290" t="s">
        <v>734</v>
      </c>
      <c r="K19" s="732">
        <f>500801657.28/1000</f>
        <v>500801.65727999998</v>
      </c>
      <c r="L19" s="732">
        <f>274626291.928403/1000</f>
        <v>274626.29192840302</v>
      </c>
      <c r="M19" s="732">
        <f>120081221.76/1000</f>
        <v>120081.22176</v>
      </c>
      <c r="N19" s="732">
        <f>895509170.968403/1000</f>
        <v>895509.17096840299</v>
      </c>
      <c r="O19" s="292"/>
    </row>
    <row r="20" spans="1:15" s="288" customFormat="1" x14ac:dyDescent="0.35">
      <c r="A20" s="289"/>
      <c r="B20" s="290" t="s">
        <v>735</v>
      </c>
      <c r="C20" s="732">
        <v>683783016.12</v>
      </c>
      <c r="D20" s="732">
        <v>326557517.07712382</v>
      </c>
      <c r="E20" s="732">
        <v>169939172.64000002</v>
      </c>
      <c r="F20" s="732">
        <v>1180279705.8371239</v>
      </c>
      <c r="G20" s="292"/>
      <c r="I20" s="286"/>
      <c r="J20" s="290" t="s">
        <v>735</v>
      </c>
      <c r="K20" s="732">
        <f>683783016.12/1000</f>
        <v>683783.01612000004</v>
      </c>
      <c r="L20" s="732">
        <f>326557517.077124/1000</f>
        <v>326557.51707712398</v>
      </c>
      <c r="M20" s="732">
        <f>169939172.64/1000</f>
        <v>169939.17263999998</v>
      </c>
      <c r="N20" s="732">
        <f>1180279705.83712/1000</f>
        <v>1180279.7058371201</v>
      </c>
      <c r="O20" s="292"/>
    </row>
    <row r="21" spans="1:15" x14ac:dyDescent="0.35">
      <c r="A21" s="289">
        <v>2</v>
      </c>
      <c r="B21" s="730" t="s">
        <v>655</v>
      </c>
      <c r="C21" s="291"/>
      <c r="D21" s="291"/>
      <c r="E21" s="291"/>
      <c r="F21" s="291"/>
      <c r="G21" s="292"/>
      <c r="I21" s="289">
        <v>2</v>
      </c>
      <c r="J21" s="730" t="s">
        <v>655</v>
      </c>
      <c r="K21" s="291"/>
      <c r="L21" s="291"/>
      <c r="M21" s="291"/>
      <c r="N21" s="291"/>
      <c r="O21" s="292"/>
    </row>
    <row r="22" spans="1:15" s="288" customFormat="1" ht="31" x14ac:dyDescent="0.35">
      <c r="A22" s="289"/>
      <c r="B22" s="290" t="s">
        <v>741</v>
      </c>
      <c r="C22" s="732">
        <v>1704261420.5999999</v>
      </c>
      <c r="D22" s="732">
        <v>753320282.90688491</v>
      </c>
      <c r="E22" s="732">
        <v>404333671.20000005</v>
      </c>
      <c r="F22" s="732">
        <v>2861915374.7068849</v>
      </c>
      <c r="G22" s="292"/>
      <c r="I22" s="286"/>
      <c r="J22" s="290" t="s">
        <v>741</v>
      </c>
      <c r="K22" s="732">
        <f>1704261420.6/1000</f>
        <v>1704261.4205999998</v>
      </c>
      <c r="L22" s="732">
        <f>753320282.906885/1000</f>
        <v>753320.28290688503</v>
      </c>
      <c r="M22" s="732">
        <f>404333671.2/1000</f>
        <v>404333.67119999998</v>
      </c>
      <c r="N22" s="732">
        <f>2861915374.70688/1000</f>
        <v>2861915.3747068802</v>
      </c>
      <c r="O22" s="287"/>
    </row>
    <row r="23" spans="1:15" s="288" customFormat="1" ht="31" x14ac:dyDescent="0.35">
      <c r="A23" s="289"/>
      <c r="B23" s="290" t="s">
        <v>742</v>
      </c>
      <c r="C23" s="732">
        <v>1797957485.1600003</v>
      </c>
      <c r="D23" s="732">
        <v>721903415.97511756</v>
      </c>
      <c r="E23" s="732">
        <v>431055402.72000009</v>
      </c>
      <c r="F23" s="732">
        <v>2950916303.8551178</v>
      </c>
      <c r="G23" s="292"/>
      <c r="I23" s="286"/>
      <c r="J23" s="290" t="s">
        <v>742</v>
      </c>
      <c r="K23" s="732">
        <f>1797957485.16/1000</f>
        <v>1797957.4851600002</v>
      </c>
      <c r="L23" s="732">
        <f>721903415.975118/1000</f>
        <v>721903.41597511806</v>
      </c>
      <c r="M23" s="732">
        <f>431055402.72/1000</f>
        <v>431055.40272000001</v>
      </c>
      <c r="N23" s="732">
        <f>2950916303.85512/1000</f>
        <v>2950916.3038551202</v>
      </c>
      <c r="O23" s="287"/>
    </row>
    <row r="24" spans="1:15" s="288" customFormat="1" ht="31" x14ac:dyDescent="0.35">
      <c r="A24" s="289"/>
      <c r="B24" s="290" t="s">
        <v>743</v>
      </c>
      <c r="C24" s="732">
        <v>1543482294.9000001</v>
      </c>
      <c r="D24" s="732">
        <v>1573656571.2687161</v>
      </c>
      <c r="E24" s="732">
        <v>370809922.80000001</v>
      </c>
      <c r="F24" s="732">
        <v>3487948788.9687157</v>
      </c>
      <c r="G24" s="292"/>
      <c r="I24" s="286"/>
      <c r="J24" s="290" t="s">
        <v>743</v>
      </c>
      <c r="K24" s="732">
        <f>1543482294.9/1000</f>
        <v>1543482.2949000001</v>
      </c>
      <c r="L24" s="732">
        <f>1573656571.26872/1000</f>
        <v>1573656.5712687199</v>
      </c>
      <c r="M24" s="732">
        <f>370809922.8/1000</f>
        <v>370809.9228</v>
      </c>
      <c r="N24" s="732">
        <f>3487948788.96872/1000</f>
        <v>3487948.78896872</v>
      </c>
      <c r="O24" s="287"/>
    </row>
    <row r="25" spans="1:15" s="288" customFormat="1" ht="31" x14ac:dyDescent="0.35">
      <c r="A25" s="289"/>
      <c r="B25" s="290" t="s">
        <v>744</v>
      </c>
      <c r="C25" s="732">
        <v>1451962885.0800002</v>
      </c>
      <c r="D25" s="732">
        <v>1368787745.2257314</v>
      </c>
      <c r="E25" s="732">
        <v>345759363.36000001</v>
      </c>
      <c r="F25" s="732">
        <v>3166509993.6657329</v>
      </c>
      <c r="G25" s="292"/>
      <c r="I25" s="286"/>
      <c r="J25" s="290" t="s">
        <v>744</v>
      </c>
      <c r="K25" s="732">
        <f>1451962885.08/1000</f>
        <v>1451962.8850799999</v>
      </c>
      <c r="L25" s="732">
        <f>1368787745.22573/1000</f>
        <v>1368787.7452257299</v>
      </c>
      <c r="M25" s="732">
        <f>345759363.36/1000</f>
        <v>345759.36336000002</v>
      </c>
      <c r="N25" s="732">
        <f>3166509993.66573/1000</f>
        <v>3166509.9936657301</v>
      </c>
      <c r="O25" s="287"/>
    </row>
    <row r="26" spans="1:15" s="288" customFormat="1" x14ac:dyDescent="0.35">
      <c r="A26" s="289"/>
      <c r="B26" s="290" t="s">
        <v>745</v>
      </c>
      <c r="C26" s="732">
        <v>427068630</v>
      </c>
      <c r="D26" s="732">
        <v>239119819.0116685</v>
      </c>
      <c r="E26" s="732">
        <v>101218680.00000001</v>
      </c>
      <c r="F26" s="732">
        <v>767407129.01166844</v>
      </c>
      <c r="G26" s="292"/>
      <c r="I26" s="286"/>
      <c r="J26" s="290" t="s">
        <v>745</v>
      </c>
      <c r="K26" s="732">
        <f>427068630/1000</f>
        <v>427068.63</v>
      </c>
      <c r="L26" s="732">
        <f>239119819.011669/1000</f>
        <v>239119.81901166902</v>
      </c>
      <c r="M26" s="732">
        <f>101218680/1000</f>
        <v>101218.68</v>
      </c>
      <c r="N26" s="732">
        <f>767407129.011668/1000</f>
        <v>767407.12901166792</v>
      </c>
      <c r="O26" s="287"/>
    </row>
    <row r="27" spans="1:15" x14ac:dyDescent="0.35">
      <c r="A27" s="289">
        <v>3</v>
      </c>
      <c r="B27" s="730" t="s">
        <v>360</v>
      </c>
      <c r="C27" s="291"/>
      <c r="D27" s="291"/>
      <c r="E27" s="291"/>
      <c r="F27" s="291"/>
      <c r="G27" s="292"/>
      <c r="I27" s="289">
        <v>3</v>
      </c>
      <c r="J27" s="730" t="s">
        <v>360</v>
      </c>
      <c r="K27" s="291"/>
      <c r="L27" s="291"/>
      <c r="M27" s="291"/>
      <c r="N27" s="291"/>
      <c r="O27" s="292"/>
    </row>
    <row r="28" spans="1:15" s="288" customFormat="1" x14ac:dyDescent="0.35">
      <c r="A28" s="289"/>
      <c r="B28" s="290" t="s">
        <v>736</v>
      </c>
      <c r="C28" s="732">
        <v>1510794531.8400002</v>
      </c>
      <c r="D28" s="732">
        <v>984989245.19382036</v>
      </c>
      <c r="E28" s="732">
        <v>371794145.28000003</v>
      </c>
      <c r="F28" s="732">
        <v>2867577922.3138208</v>
      </c>
      <c r="G28" s="292"/>
      <c r="I28" s="286"/>
      <c r="J28" s="290" t="s">
        <v>736</v>
      </c>
      <c r="K28" s="732">
        <f>1510794531.84/1000</f>
        <v>1510794.5318399998</v>
      </c>
      <c r="L28" s="732">
        <f>984989245.19382/1000</f>
        <v>984989.24519381998</v>
      </c>
      <c r="M28" s="732">
        <f>371794145.28/1000</f>
        <v>371794.14528</v>
      </c>
      <c r="N28" s="732">
        <f>2867577922.31382/1000</f>
        <v>2867577.9223138201</v>
      </c>
      <c r="O28" s="292"/>
    </row>
    <row r="29" spans="1:15" s="288" customFormat="1" x14ac:dyDescent="0.35">
      <c r="A29" s="289"/>
      <c r="B29" s="290" t="s">
        <v>737</v>
      </c>
      <c r="C29" s="732">
        <v>1480998270.9000001</v>
      </c>
      <c r="D29" s="732">
        <v>1149468685.8703337</v>
      </c>
      <c r="E29" s="732">
        <v>362299042.80000007</v>
      </c>
      <c r="F29" s="732">
        <v>2992765999.5703344</v>
      </c>
      <c r="G29" s="292"/>
      <c r="I29" s="286"/>
      <c r="J29" s="290" t="s">
        <v>737</v>
      </c>
      <c r="K29" s="732">
        <f>1480998270.9/1000</f>
        <v>1480998.2709000001</v>
      </c>
      <c r="L29" s="732">
        <f>1149468685.87033/1000</f>
        <v>1149468.6858703301</v>
      </c>
      <c r="M29" s="732">
        <f>362299042.8/1000</f>
        <v>362299.0428</v>
      </c>
      <c r="N29" s="732">
        <f>2992765999.57033/1000</f>
        <v>2992765.9995703301</v>
      </c>
      <c r="O29" s="292"/>
    </row>
    <row r="30" spans="1:15" s="288" customFormat="1" x14ac:dyDescent="0.35">
      <c r="A30" s="289"/>
      <c r="B30" s="290" t="s">
        <v>738</v>
      </c>
      <c r="C30" s="732">
        <v>850445293.0200001</v>
      </c>
      <c r="D30" s="732">
        <v>634970659.91920233</v>
      </c>
      <c r="E30" s="732">
        <v>213943461.84000006</v>
      </c>
      <c r="F30" s="732">
        <v>1699359414.7792025</v>
      </c>
      <c r="G30" s="292"/>
      <c r="I30" s="286"/>
      <c r="J30" s="290" t="s">
        <v>738</v>
      </c>
      <c r="K30" s="732">
        <f>850445293.02/1000</f>
        <v>850445.29301999998</v>
      </c>
      <c r="L30" s="732">
        <f>634970659.919202/1000</f>
        <v>634970.65991920198</v>
      </c>
      <c r="M30" s="732">
        <f>213943461.84/1000</f>
        <v>213943.46184</v>
      </c>
      <c r="N30" s="732">
        <f>1699359414.7792/1000</f>
        <v>1699359.4147792</v>
      </c>
      <c r="O30" s="292"/>
    </row>
    <row r="31" spans="1:15" s="288" customFormat="1" ht="31" x14ac:dyDescent="0.35">
      <c r="A31" s="289"/>
      <c r="B31" s="290" t="s">
        <v>739</v>
      </c>
      <c r="C31" s="732">
        <v>1095191156.0400002</v>
      </c>
      <c r="D31" s="732">
        <v>602249031.32941318</v>
      </c>
      <c r="E31" s="732">
        <v>262836643.68000001</v>
      </c>
      <c r="F31" s="732">
        <v>1960276831.0494134</v>
      </c>
      <c r="G31" s="292"/>
      <c r="I31" s="286"/>
      <c r="J31" s="290" t="s">
        <v>739</v>
      </c>
      <c r="K31" s="732">
        <f>1095191156.04/1000</f>
        <v>1095191.15604</v>
      </c>
      <c r="L31" s="732">
        <f>602249031.329413/1000</f>
        <v>602249.03132941306</v>
      </c>
      <c r="M31" s="732">
        <f>262836643.68/1000</f>
        <v>262836.64367999998</v>
      </c>
      <c r="N31" s="732">
        <f>1960276831.04941/1000</f>
        <v>1960276.8310494102</v>
      </c>
      <c r="O31" s="292"/>
    </row>
    <row r="32" spans="1:15" s="288" customFormat="1" x14ac:dyDescent="0.35">
      <c r="A32" s="289"/>
      <c r="B32" s="290" t="s">
        <v>740</v>
      </c>
      <c r="C32" s="732">
        <v>356378249.39999998</v>
      </c>
      <c r="D32" s="732">
        <v>203405774.55695534</v>
      </c>
      <c r="E32" s="732">
        <v>87048064.799999997</v>
      </c>
      <c r="F32" s="732">
        <v>646832088.75695527</v>
      </c>
      <c r="G32" s="292"/>
      <c r="I32" s="286"/>
      <c r="J32" s="290" t="s">
        <v>740</v>
      </c>
      <c r="K32" s="732">
        <f>356378249.4/1000</f>
        <v>356378.24939999997</v>
      </c>
      <c r="L32" s="732">
        <f>203405774.556955/1000</f>
        <v>203405.774556955</v>
      </c>
      <c r="M32" s="732">
        <f>87048064.8/1000</f>
        <v>87048.064799999993</v>
      </c>
      <c r="N32" s="732">
        <f>646832088.756955/1000</f>
        <v>646832.088756955</v>
      </c>
      <c r="O32" s="292"/>
    </row>
    <row r="33" spans="1:15" x14ac:dyDescent="0.35">
      <c r="A33" s="289">
        <v>4</v>
      </c>
      <c r="B33" s="730" t="s">
        <v>366</v>
      </c>
      <c r="C33" s="291"/>
      <c r="D33" s="291"/>
      <c r="E33" s="291"/>
      <c r="F33" s="291"/>
      <c r="G33" s="292"/>
      <c r="I33" s="289">
        <v>4</v>
      </c>
      <c r="J33" s="730" t="s">
        <v>366</v>
      </c>
      <c r="K33" s="291"/>
      <c r="L33" s="291"/>
      <c r="M33" s="291"/>
      <c r="N33" s="291"/>
      <c r="O33" s="292"/>
    </row>
    <row r="34" spans="1:15" s="288" customFormat="1" x14ac:dyDescent="0.35">
      <c r="A34" s="289"/>
      <c r="B34" s="731" t="s">
        <v>746</v>
      </c>
      <c r="C34" s="732">
        <v>518156061.84000003</v>
      </c>
      <c r="D34" s="732">
        <v>288185825.43370527</v>
      </c>
      <c r="E34" s="732">
        <v>120905561.28000003</v>
      </c>
      <c r="F34" s="732">
        <v>927247448.55370545</v>
      </c>
      <c r="G34" s="733"/>
      <c r="I34" s="286"/>
      <c r="J34" s="290" t="s">
        <v>746</v>
      </c>
      <c r="K34" s="732">
        <f>518156061.84/1000</f>
        <v>518156.06183999998</v>
      </c>
      <c r="L34" s="732">
        <f>288185825.433705/1000</f>
        <v>288185.82543370494</v>
      </c>
      <c r="M34" s="732">
        <f>120905561.28/1000</f>
        <v>120905.56127999999</v>
      </c>
      <c r="N34" s="732">
        <f>927247448.553705/1000</f>
        <v>927247.44855370501</v>
      </c>
      <c r="O34" s="287"/>
    </row>
    <row r="35" spans="1:15" s="288" customFormat="1" x14ac:dyDescent="0.35">
      <c r="A35" s="289"/>
      <c r="B35" s="731" t="s">
        <v>747</v>
      </c>
      <c r="C35" s="732">
        <v>736600412.51999998</v>
      </c>
      <c r="D35" s="732">
        <v>404704248.53124756</v>
      </c>
      <c r="E35" s="732">
        <v>173623167.84000003</v>
      </c>
      <c r="F35" s="732">
        <v>1314927828.8912477</v>
      </c>
      <c r="G35" s="733"/>
      <c r="I35" s="286"/>
      <c r="J35" s="290" t="s">
        <v>747</v>
      </c>
      <c r="K35" s="732">
        <f>736600412.52/1000</f>
        <v>736600.41252000001</v>
      </c>
      <c r="L35" s="732">
        <f>404704248.531248/1000</f>
        <v>404704.24853124795</v>
      </c>
      <c r="M35" s="732">
        <f>173623167.84/1000</f>
        <v>173623.16784000001</v>
      </c>
      <c r="N35" s="732">
        <f>1314927828.89125/1000</f>
        <v>1314927.8288912498</v>
      </c>
      <c r="O35" s="287"/>
    </row>
    <row r="36" spans="1:15" s="288" customFormat="1" x14ac:dyDescent="0.35">
      <c r="A36" s="289"/>
      <c r="B36" s="731" t="s">
        <v>748</v>
      </c>
      <c r="C36" s="732">
        <v>603484344.66000009</v>
      </c>
      <c r="D36" s="732">
        <v>314198773.50703406</v>
      </c>
      <c r="E36" s="732">
        <v>145378596.72000003</v>
      </c>
      <c r="F36" s="732">
        <v>1063061714.8870341</v>
      </c>
      <c r="G36" s="733"/>
      <c r="I36" s="286"/>
      <c r="J36" s="290" t="s">
        <v>748</v>
      </c>
      <c r="K36" s="732">
        <f>603484344.66/1000</f>
        <v>603484.34465999994</v>
      </c>
      <c r="L36" s="732">
        <f>314198773.507034/1000</f>
        <v>314198.773507034</v>
      </c>
      <c r="M36" s="732">
        <f>145378596.72/1000</f>
        <v>145378.59672</v>
      </c>
      <c r="N36" s="732">
        <f>1063061714.88703/1000</f>
        <v>1063061.71488703</v>
      </c>
      <c r="O36" s="287"/>
    </row>
    <row r="37" spans="1:15" s="288" customFormat="1" ht="31" x14ac:dyDescent="0.35">
      <c r="A37" s="289"/>
      <c r="B37" s="731" t="s">
        <v>749</v>
      </c>
      <c r="C37" s="732">
        <v>894781013.76000011</v>
      </c>
      <c r="D37" s="732">
        <v>650365242.22442663</v>
      </c>
      <c r="E37" s="732">
        <v>210204145.92000005</v>
      </c>
      <c r="F37" s="732">
        <v>1755350401.9044268</v>
      </c>
      <c r="G37" s="733"/>
      <c r="I37" s="286"/>
      <c r="J37" s="290" t="s">
        <v>749</v>
      </c>
      <c r="K37" s="732">
        <f>894781013.76/1000</f>
        <v>894781.01376</v>
      </c>
      <c r="L37" s="732">
        <f>650365242.224427/1000</f>
        <v>650365.24222442694</v>
      </c>
      <c r="M37" s="732">
        <f>210204145.92/1000</f>
        <v>210204.14591999998</v>
      </c>
      <c r="N37" s="732">
        <f>1755350401.90443/1000</f>
        <v>1755350.40190443</v>
      </c>
      <c r="O37" s="287"/>
    </row>
    <row r="38" spans="1:15" s="288" customFormat="1" x14ac:dyDescent="0.35">
      <c r="A38" s="289"/>
      <c r="B38" s="731" t="s">
        <v>750</v>
      </c>
      <c r="C38" s="732">
        <v>597297920.58000004</v>
      </c>
      <c r="D38" s="732">
        <v>343322930.23011196</v>
      </c>
      <c r="E38" s="732">
        <v>134735133.36000001</v>
      </c>
      <c r="F38" s="732">
        <v>1075355984.1701119</v>
      </c>
      <c r="G38" s="733"/>
      <c r="I38" s="286"/>
      <c r="J38" s="290" t="s">
        <v>750</v>
      </c>
      <c r="K38" s="732">
        <f>597297920.58/1000</f>
        <v>597297.92058000003</v>
      </c>
      <c r="L38" s="732">
        <f>343322930.230112/1000</f>
        <v>343322.93023011199</v>
      </c>
      <c r="M38" s="732">
        <f>134735133.36/1000</f>
        <v>134735.13336000001</v>
      </c>
      <c r="N38" s="732">
        <f>1075355984.17011/1000</f>
        <v>1075355.98417011</v>
      </c>
      <c r="O38" s="287"/>
    </row>
    <row r="39" spans="1:15" x14ac:dyDescent="0.35">
      <c r="A39" s="289">
        <v>5</v>
      </c>
      <c r="B39" s="730" t="s">
        <v>364</v>
      </c>
      <c r="C39" s="291">
        <v>1710424613.2800002</v>
      </c>
      <c r="D39" s="291">
        <v>698469107.88030148</v>
      </c>
      <c r="E39" s="291">
        <v>434679821.76000011</v>
      </c>
      <c r="F39" s="291">
        <v>2843573542.9203019</v>
      </c>
      <c r="G39" s="292"/>
      <c r="I39" s="289">
        <v>5</v>
      </c>
      <c r="J39" s="730" t="s">
        <v>364</v>
      </c>
      <c r="K39" s="291">
        <v>1710425</v>
      </c>
      <c r="L39" s="291">
        <v>698469</v>
      </c>
      <c r="M39" s="291">
        <v>434680</v>
      </c>
      <c r="N39" s="291">
        <f t="shared" ref="N39:N45" si="0">SUM(K39:M39)</f>
        <v>2843574</v>
      </c>
      <c r="O39" s="292"/>
    </row>
    <row r="40" spans="1:15" x14ac:dyDescent="0.35">
      <c r="A40" s="289">
        <v>6</v>
      </c>
      <c r="B40" s="290" t="s">
        <v>365</v>
      </c>
      <c r="C40" s="291">
        <v>4043236004.1000009</v>
      </c>
      <c r="D40" s="291">
        <v>2337997601.692502</v>
      </c>
      <c r="E40" s="291">
        <v>1083354170.6400001</v>
      </c>
      <c r="F40" s="291">
        <v>7464587776.4325027</v>
      </c>
      <c r="G40" s="292"/>
      <c r="I40" s="289">
        <v>6</v>
      </c>
      <c r="J40" s="290" t="s">
        <v>365</v>
      </c>
      <c r="K40" s="291">
        <v>4043236</v>
      </c>
      <c r="L40" s="291">
        <v>2337998</v>
      </c>
      <c r="M40" s="291">
        <v>1083354</v>
      </c>
      <c r="N40" s="291">
        <f t="shared" si="0"/>
        <v>7464588</v>
      </c>
      <c r="O40" s="292"/>
    </row>
    <row r="41" spans="1:15" x14ac:dyDescent="0.35">
      <c r="A41" s="289">
        <v>7</v>
      </c>
      <c r="B41" s="290" t="s">
        <v>367</v>
      </c>
      <c r="C41" s="291">
        <v>3815518258.9799995</v>
      </c>
      <c r="D41" s="291">
        <v>1482799266.699908</v>
      </c>
      <c r="E41" s="291">
        <v>1023370704.2400002</v>
      </c>
      <c r="F41" s="291">
        <v>6321688229.9199085</v>
      </c>
      <c r="G41" s="292"/>
      <c r="I41" s="289">
        <v>7</v>
      </c>
      <c r="J41" s="290" t="s">
        <v>367</v>
      </c>
      <c r="K41" s="291">
        <v>3815518</v>
      </c>
      <c r="L41" s="291">
        <v>1482799</v>
      </c>
      <c r="M41" s="291">
        <v>1023371</v>
      </c>
      <c r="N41" s="291">
        <f t="shared" si="0"/>
        <v>6321688</v>
      </c>
      <c r="O41" s="292"/>
    </row>
    <row r="42" spans="1:15" x14ac:dyDescent="0.35">
      <c r="A42" s="289">
        <v>8</v>
      </c>
      <c r="B42" s="290" t="s">
        <v>344</v>
      </c>
      <c r="C42" s="291">
        <v>3044245617.3600001</v>
      </c>
      <c r="D42" s="291">
        <v>1675870948.3158629</v>
      </c>
      <c r="E42" s="291">
        <v>964840166.63999999</v>
      </c>
      <c r="F42" s="291">
        <v>5684956732.3158655</v>
      </c>
      <c r="G42" s="292"/>
      <c r="I42" s="289">
        <v>8</v>
      </c>
      <c r="J42" s="290" t="s">
        <v>344</v>
      </c>
      <c r="K42" s="291">
        <v>3044246</v>
      </c>
      <c r="L42" s="291">
        <v>1675871</v>
      </c>
      <c r="M42" s="291">
        <v>964840</v>
      </c>
      <c r="N42" s="291">
        <f t="shared" si="0"/>
        <v>5684957</v>
      </c>
      <c r="O42" s="292"/>
    </row>
    <row r="43" spans="1:15" x14ac:dyDescent="0.35">
      <c r="A43" s="289">
        <v>8</v>
      </c>
      <c r="B43" s="290" t="s">
        <v>341</v>
      </c>
      <c r="C43" s="291">
        <v>2615061120.0000005</v>
      </c>
      <c r="D43" s="291">
        <v>980154389.47291219</v>
      </c>
      <c r="E43" s="291">
        <v>635884320.00000012</v>
      </c>
      <c r="F43" s="291">
        <v>4231099829.4729118</v>
      </c>
      <c r="G43" s="292"/>
      <c r="I43" s="289">
        <v>8</v>
      </c>
      <c r="J43" s="290" t="s">
        <v>341</v>
      </c>
      <c r="K43" s="291">
        <v>2615061</v>
      </c>
      <c r="L43" s="291">
        <v>980154</v>
      </c>
      <c r="M43" s="291">
        <v>635884</v>
      </c>
      <c r="N43" s="291">
        <f t="shared" si="0"/>
        <v>4231099</v>
      </c>
      <c r="O43" s="292"/>
    </row>
    <row r="44" spans="1:15" x14ac:dyDescent="0.35">
      <c r="A44" s="289">
        <v>9</v>
      </c>
      <c r="B44" s="290" t="s">
        <v>363</v>
      </c>
      <c r="C44" s="291">
        <v>9787006165.5827999</v>
      </c>
      <c r="D44" s="291">
        <v>3081909183.7585058</v>
      </c>
      <c r="E44" s="291">
        <v>2046315730.7376001</v>
      </c>
      <c r="F44" s="291">
        <v>14915231080.078915</v>
      </c>
      <c r="G44" s="292"/>
      <c r="I44" s="289">
        <v>9</v>
      </c>
      <c r="J44" s="290" t="s">
        <v>363</v>
      </c>
      <c r="K44" s="291">
        <v>9787006</v>
      </c>
      <c r="L44" s="291">
        <v>3081909</v>
      </c>
      <c r="M44" s="291">
        <v>2046316</v>
      </c>
      <c r="N44" s="291">
        <f t="shared" si="0"/>
        <v>14915231</v>
      </c>
      <c r="O44" s="292"/>
    </row>
    <row r="45" spans="1:15" x14ac:dyDescent="0.35">
      <c r="A45" s="289">
        <v>10</v>
      </c>
      <c r="B45" s="730" t="s">
        <v>362</v>
      </c>
      <c r="C45" s="291">
        <v>8612290736.8199997</v>
      </c>
      <c r="D45" s="291">
        <v>3379658112.1203022</v>
      </c>
      <c r="E45" s="291">
        <v>2056798229.0400002</v>
      </c>
      <c r="F45" s="291">
        <v>14048747077.980322</v>
      </c>
      <c r="G45" s="292"/>
      <c r="I45" s="289">
        <v>10</v>
      </c>
      <c r="J45" s="730" t="s">
        <v>362</v>
      </c>
      <c r="K45" s="291">
        <v>8612291</v>
      </c>
      <c r="L45" s="291">
        <v>3379658</v>
      </c>
      <c r="M45" s="291">
        <v>2056798</v>
      </c>
      <c r="N45" s="291">
        <f t="shared" si="0"/>
        <v>14048747</v>
      </c>
      <c r="O45" s="292"/>
    </row>
    <row r="46" spans="1:15" s="288" customFormat="1" x14ac:dyDescent="0.35">
      <c r="A46" s="289"/>
      <c r="B46" s="731" t="s">
        <v>751</v>
      </c>
      <c r="C46" s="732">
        <v>3745203534.48</v>
      </c>
      <c r="D46" s="732">
        <v>1411941246.6565254</v>
      </c>
      <c r="E46" s="732">
        <v>896966506.55999994</v>
      </c>
      <c r="F46" s="732">
        <v>6054111287.6965256</v>
      </c>
      <c r="G46" s="292"/>
      <c r="I46" s="286"/>
      <c r="J46" s="290" t="s">
        <v>751</v>
      </c>
      <c r="K46" s="732">
        <v>3745203534.48</v>
      </c>
      <c r="L46" s="732">
        <v>1411941246.6565254</v>
      </c>
      <c r="M46" s="732">
        <v>896966506.55999994</v>
      </c>
      <c r="N46" s="732">
        <v>6054111287.6965256</v>
      </c>
      <c r="O46" s="292"/>
    </row>
    <row r="47" spans="1:15" s="288" customFormat="1" x14ac:dyDescent="0.35">
      <c r="A47" s="289"/>
      <c r="B47" s="731" t="s">
        <v>752</v>
      </c>
      <c r="C47" s="732">
        <v>2858771114.9400005</v>
      </c>
      <c r="D47" s="732">
        <v>1084367934.604933</v>
      </c>
      <c r="E47" s="732">
        <v>687714971.27999997</v>
      </c>
      <c r="F47" s="732">
        <v>4630854020.8249331</v>
      </c>
      <c r="G47" s="292"/>
      <c r="I47" s="286"/>
      <c r="J47" s="290" t="s">
        <v>752</v>
      </c>
      <c r="K47" s="732">
        <v>2858771114.9400005</v>
      </c>
      <c r="L47" s="732">
        <v>1084367934.604933</v>
      </c>
      <c r="M47" s="732">
        <v>687714971.27999997</v>
      </c>
      <c r="N47" s="732">
        <v>4630854020.8249331</v>
      </c>
      <c r="O47" s="292"/>
    </row>
    <row r="48" spans="1:15" s="288" customFormat="1" x14ac:dyDescent="0.35">
      <c r="A48" s="289"/>
      <c r="B48" s="731" t="s">
        <v>753</v>
      </c>
      <c r="C48" s="732">
        <v>2332499782.4400001</v>
      </c>
      <c r="D48" s="732">
        <v>1002731687.5446537</v>
      </c>
      <c r="E48" s="732">
        <v>543549782.88000011</v>
      </c>
      <c r="F48" s="732">
        <v>3878781252.8646531</v>
      </c>
      <c r="G48" s="292"/>
      <c r="I48" s="286"/>
      <c r="J48" s="290" t="s">
        <v>753</v>
      </c>
      <c r="K48" s="732">
        <v>2332499782.4400001</v>
      </c>
      <c r="L48" s="732">
        <v>1002731687.5446537</v>
      </c>
      <c r="M48" s="732">
        <v>543549782.88000011</v>
      </c>
      <c r="N48" s="732">
        <v>3878781252.8646531</v>
      </c>
      <c r="O48" s="292"/>
    </row>
    <row r="49" spans="1:15" x14ac:dyDescent="0.35">
      <c r="A49" s="289">
        <v>11</v>
      </c>
      <c r="B49" s="290" t="s">
        <v>333</v>
      </c>
      <c r="C49" s="291">
        <v>1160105448</v>
      </c>
      <c r="D49" s="291">
        <v>644674324.74702108</v>
      </c>
      <c r="E49" s="291">
        <v>280494288</v>
      </c>
      <c r="F49" s="291">
        <v>2085274060.7470207</v>
      </c>
      <c r="G49" s="292"/>
      <c r="I49" s="289">
        <v>11</v>
      </c>
      <c r="J49" s="290" t="s">
        <v>333</v>
      </c>
      <c r="K49" s="291">
        <v>1160105</v>
      </c>
      <c r="L49" s="291">
        <v>644674</v>
      </c>
      <c r="M49" s="291">
        <v>280494</v>
      </c>
      <c r="N49" s="291">
        <f>SUM(K49:M49)</f>
        <v>2085273</v>
      </c>
      <c r="O49" s="292"/>
    </row>
    <row r="50" spans="1:15" x14ac:dyDescent="0.35">
      <c r="A50" s="289">
        <v>12</v>
      </c>
      <c r="B50" s="290" t="s">
        <v>334</v>
      </c>
      <c r="C50" s="291">
        <v>587322660.48000002</v>
      </c>
      <c r="D50" s="291">
        <v>323839922.65304977</v>
      </c>
      <c r="E50" s="291">
        <v>141066620.16000003</v>
      </c>
      <c r="F50" s="291">
        <v>1052229203.2930498</v>
      </c>
      <c r="G50" s="292"/>
      <c r="I50" s="289">
        <v>12</v>
      </c>
      <c r="J50" s="290" t="s">
        <v>334</v>
      </c>
      <c r="K50" s="291">
        <v>587323</v>
      </c>
      <c r="L50" s="291">
        <v>323840</v>
      </c>
      <c r="M50" s="291">
        <v>141067</v>
      </c>
      <c r="N50" s="291">
        <f t="shared" ref="N50:N73" si="1">SUM(K50:M50)</f>
        <v>1052230</v>
      </c>
      <c r="O50" s="292"/>
    </row>
    <row r="51" spans="1:15" x14ac:dyDescent="0.35">
      <c r="A51" s="289">
        <v>13</v>
      </c>
      <c r="B51" s="290" t="s">
        <v>335</v>
      </c>
      <c r="C51" s="291">
        <v>782915232.96000004</v>
      </c>
      <c r="D51" s="291">
        <v>398695230.18862873</v>
      </c>
      <c r="E51" s="291">
        <v>195224997.12</v>
      </c>
      <c r="F51" s="291">
        <v>1376835460.2686288</v>
      </c>
      <c r="G51" s="292"/>
      <c r="I51" s="289">
        <v>13</v>
      </c>
      <c r="J51" s="290" t="s">
        <v>335</v>
      </c>
      <c r="K51" s="291">
        <v>782915</v>
      </c>
      <c r="L51" s="291">
        <v>398695</v>
      </c>
      <c r="M51" s="291">
        <v>195225</v>
      </c>
      <c r="N51" s="291">
        <f t="shared" si="1"/>
        <v>1376835</v>
      </c>
      <c r="O51" s="292"/>
    </row>
    <row r="52" spans="1:15" x14ac:dyDescent="0.35">
      <c r="A52" s="289">
        <v>14</v>
      </c>
      <c r="B52" s="290" t="s">
        <v>336</v>
      </c>
      <c r="C52" s="291">
        <v>1660627275.1200001</v>
      </c>
      <c r="D52" s="291">
        <v>852820524.24198854</v>
      </c>
      <c r="E52" s="291">
        <v>401112911.04000002</v>
      </c>
      <c r="F52" s="291">
        <v>2914560710.401989</v>
      </c>
      <c r="G52" s="292"/>
      <c r="I52" s="289">
        <v>14</v>
      </c>
      <c r="J52" s="290" t="s">
        <v>336</v>
      </c>
      <c r="K52" s="291">
        <v>1660627</v>
      </c>
      <c r="L52" s="291">
        <v>852821</v>
      </c>
      <c r="M52" s="291">
        <v>401113</v>
      </c>
      <c r="N52" s="291">
        <f t="shared" si="1"/>
        <v>2914561</v>
      </c>
      <c r="O52" s="292"/>
    </row>
    <row r="53" spans="1:15" x14ac:dyDescent="0.35">
      <c r="A53" s="289">
        <v>15</v>
      </c>
      <c r="B53" s="290" t="s">
        <v>337</v>
      </c>
      <c r="C53" s="291">
        <v>70271850</v>
      </c>
      <c r="D53" s="291">
        <v>47366758.925906666</v>
      </c>
      <c r="E53" s="291">
        <v>16231464</v>
      </c>
      <c r="F53" s="291">
        <v>133870072.92590666</v>
      </c>
      <c r="G53" s="292"/>
      <c r="I53" s="289">
        <v>15</v>
      </c>
      <c r="J53" s="290" t="s">
        <v>338</v>
      </c>
      <c r="K53" s="291">
        <v>70272</v>
      </c>
      <c r="L53" s="291">
        <v>47367</v>
      </c>
      <c r="M53" s="291">
        <v>16231</v>
      </c>
      <c r="N53" s="291">
        <f t="shared" si="1"/>
        <v>133870</v>
      </c>
      <c r="O53" s="292"/>
    </row>
    <row r="54" spans="1:15" x14ac:dyDescent="0.35">
      <c r="A54" s="289">
        <v>16</v>
      </c>
      <c r="B54" s="290" t="s">
        <v>339</v>
      </c>
      <c r="C54" s="291">
        <v>70271850</v>
      </c>
      <c r="D54" s="291">
        <v>47366758.925906666</v>
      </c>
      <c r="E54" s="291">
        <v>16231464</v>
      </c>
      <c r="F54" s="291">
        <v>133870072.92590666</v>
      </c>
      <c r="G54" s="292"/>
      <c r="I54" s="289">
        <v>16</v>
      </c>
      <c r="J54" s="290" t="s">
        <v>340</v>
      </c>
      <c r="K54" s="291">
        <v>70272</v>
      </c>
      <c r="L54" s="291">
        <v>47367</v>
      </c>
      <c r="M54" s="291">
        <v>16231</v>
      </c>
      <c r="N54" s="291">
        <f t="shared" si="1"/>
        <v>133870</v>
      </c>
      <c r="O54" s="292"/>
    </row>
    <row r="55" spans="1:15" x14ac:dyDescent="0.35">
      <c r="A55" s="289">
        <v>17</v>
      </c>
      <c r="B55" s="290" t="s">
        <v>342</v>
      </c>
      <c r="C55" s="291">
        <v>6034242374.3400011</v>
      </c>
      <c r="D55" s="291">
        <v>3098158222.9159479</v>
      </c>
      <c r="E55" s="291">
        <v>1502990404.0799997</v>
      </c>
      <c r="F55" s="291">
        <v>10635391001.335947</v>
      </c>
      <c r="G55" s="292"/>
      <c r="I55" s="289">
        <v>17</v>
      </c>
      <c r="J55" s="290" t="s">
        <v>342</v>
      </c>
      <c r="K55" s="291">
        <v>6034242</v>
      </c>
      <c r="L55" s="291">
        <v>3098158</v>
      </c>
      <c r="M55" s="291">
        <v>1502990</v>
      </c>
      <c r="N55" s="291">
        <f t="shared" si="1"/>
        <v>10635390</v>
      </c>
      <c r="O55" s="292"/>
    </row>
    <row r="56" spans="1:15" x14ac:dyDescent="0.35">
      <c r="A56" s="289">
        <v>18</v>
      </c>
      <c r="B56" s="290" t="s">
        <v>343</v>
      </c>
      <c r="C56" s="291">
        <v>815257860</v>
      </c>
      <c r="D56" s="291">
        <v>506267837.1720826</v>
      </c>
      <c r="E56" s="291">
        <v>184321344.00000003</v>
      </c>
      <c r="F56" s="291">
        <v>1505847041.1720827</v>
      </c>
      <c r="G56" s="292"/>
      <c r="I56" s="289">
        <v>18</v>
      </c>
      <c r="J56" s="290" t="s">
        <v>343</v>
      </c>
      <c r="K56" s="291">
        <v>815258</v>
      </c>
      <c r="L56" s="291">
        <v>506268</v>
      </c>
      <c r="M56" s="291">
        <v>184321</v>
      </c>
      <c r="N56" s="291">
        <f t="shared" si="1"/>
        <v>1505847</v>
      </c>
      <c r="O56" s="292"/>
    </row>
    <row r="57" spans="1:15" x14ac:dyDescent="0.35">
      <c r="A57" s="289">
        <v>19</v>
      </c>
      <c r="B57" s="290" t="s">
        <v>345</v>
      </c>
      <c r="C57" s="291">
        <v>799932447.24000001</v>
      </c>
      <c r="D57" s="291">
        <v>493534232.29120004</v>
      </c>
      <c r="E57" s="291">
        <v>190688698.08000001</v>
      </c>
      <c r="F57" s="291">
        <v>1484155377.6111999</v>
      </c>
      <c r="G57" s="292"/>
      <c r="I57" s="289">
        <v>19</v>
      </c>
      <c r="J57" s="290" t="s">
        <v>345</v>
      </c>
      <c r="K57" s="291">
        <v>799932</v>
      </c>
      <c r="L57" s="291">
        <v>493534</v>
      </c>
      <c r="M57" s="291">
        <v>190689</v>
      </c>
      <c r="N57" s="291">
        <f t="shared" si="1"/>
        <v>1484155</v>
      </c>
      <c r="O57" s="292"/>
    </row>
    <row r="58" spans="1:15" x14ac:dyDescent="0.35">
      <c r="A58" s="289">
        <v>20</v>
      </c>
      <c r="B58" s="290" t="s">
        <v>346</v>
      </c>
      <c r="C58" s="291">
        <v>996251152.79999995</v>
      </c>
      <c r="D58" s="291">
        <v>533313382.72997123</v>
      </c>
      <c r="E58" s="291">
        <v>238474857.60000002</v>
      </c>
      <c r="F58" s="291">
        <v>1768039393.129971</v>
      </c>
      <c r="G58" s="292"/>
      <c r="I58" s="289">
        <v>20</v>
      </c>
      <c r="J58" s="290" t="s">
        <v>346</v>
      </c>
      <c r="K58" s="291">
        <v>996251</v>
      </c>
      <c r="L58" s="291">
        <v>533313</v>
      </c>
      <c r="M58" s="291">
        <v>238475</v>
      </c>
      <c r="N58" s="291">
        <f t="shared" si="1"/>
        <v>1768039</v>
      </c>
      <c r="O58" s="292"/>
    </row>
    <row r="59" spans="1:15" x14ac:dyDescent="0.35">
      <c r="A59" s="289">
        <v>21</v>
      </c>
      <c r="B59" s="290" t="s">
        <v>347</v>
      </c>
      <c r="C59" s="291">
        <v>909133321.91999996</v>
      </c>
      <c r="D59" s="291">
        <v>361087041.01764834</v>
      </c>
      <c r="E59" s="291">
        <v>222980192.63999999</v>
      </c>
      <c r="F59" s="291">
        <v>1493200555.5776484</v>
      </c>
      <c r="G59" s="292"/>
      <c r="I59" s="289">
        <v>21</v>
      </c>
      <c r="J59" s="290" t="s">
        <v>347</v>
      </c>
      <c r="K59" s="291">
        <v>909133</v>
      </c>
      <c r="L59" s="291">
        <v>361087</v>
      </c>
      <c r="M59" s="291">
        <v>222980</v>
      </c>
      <c r="N59" s="291">
        <f t="shared" si="1"/>
        <v>1493200</v>
      </c>
      <c r="O59" s="292"/>
    </row>
    <row r="60" spans="1:15" x14ac:dyDescent="0.35">
      <c r="A60" s="289">
        <v>22</v>
      </c>
      <c r="B60" s="290" t="s">
        <v>348</v>
      </c>
      <c r="C60" s="291">
        <v>1365685983.48</v>
      </c>
      <c r="D60" s="291">
        <v>782750234.77966833</v>
      </c>
      <c r="E60" s="291">
        <v>332968726.56000006</v>
      </c>
      <c r="F60" s="291">
        <v>2481404944.8196678</v>
      </c>
      <c r="G60" s="292"/>
      <c r="I60" s="289">
        <v>22</v>
      </c>
      <c r="J60" s="290" t="s">
        <v>348</v>
      </c>
      <c r="K60" s="291">
        <v>1365686</v>
      </c>
      <c r="L60" s="291">
        <v>782750</v>
      </c>
      <c r="M60" s="291">
        <v>332969</v>
      </c>
      <c r="N60" s="291">
        <f t="shared" si="1"/>
        <v>2481405</v>
      </c>
      <c r="O60" s="292"/>
    </row>
    <row r="61" spans="1:15" x14ac:dyDescent="0.35">
      <c r="A61" s="289">
        <v>23</v>
      </c>
      <c r="B61" s="290" t="s">
        <v>349</v>
      </c>
      <c r="C61" s="291">
        <v>1125861054</v>
      </c>
      <c r="D61" s="291">
        <v>657118231.94791448</v>
      </c>
      <c r="E61" s="291">
        <v>272652120</v>
      </c>
      <c r="F61" s="291">
        <v>2055631405.9479144</v>
      </c>
      <c r="G61" s="292"/>
      <c r="H61" s="293"/>
      <c r="I61" s="289">
        <v>23</v>
      </c>
      <c r="J61" s="290" t="s">
        <v>349</v>
      </c>
      <c r="K61" s="291">
        <v>1125861</v>
      </c>
      <c r="L61" s="291">
        <v>657118</v>
      </c>
      <c r="M61" s="291">
        <v>272652</v>
      </c>
      <c r="N61" s="291">
        <f t="shared" si="1"/>
        <v>2055631</v>
      </c>
      <c r="O61" s="292"/>
    </row>
    <row r="62" spans="1:15" x14ac:dyDescent="0.35">
      <c r="A62" s="289">
        <v>24</v>
      </c>
      <c r="B62" s="290" t="s">
        <v>350</v>
      </c>
      <c r="C62" s="291">
        <v>2264401005.3600001</v>
      </c>
      <c r="D62" s="291">
        <v>1236157590.9164994</v>
      </c>
      <c r="E62" s="291">
        <v>555928249.92000008</v>
      </c>
      <c r="F62" s="291">
        <v>4056486846.1964993</v>
      </c>
      <c r="G62" s="292"/>
      <c r="I62" s="289">
        <v>24</v>
      </c>
      <c r="J62" s="290" t="s">
        <v>350</v>
      </c>
      <c r="K62" s="291">
        <v>2264401</v>
      </c>
      <c r="L62" s="291">
        <v>1236158</v>
      </c>
      <c r="M62" s="291">
        <v>555928</v>
      </c>
      <c r="N62" s="291">
        <f t="shared" si="1"/>
        <v>4056487</v>
      </c>
      <c r="O62" s="292"/>
    </row>
    <row r="63" spans="1:15" x14ac:dyDescent="0.35">
      <c r="A63" s="289">
        <v>25</v>
      </c>
      <c r="B63" s="290" t="s">
        <v>351</v>
      </c>
      <c r="C63" s="291">
        <v>752111687.63999999</v>
      </c>
      <c r="D63" s="291">
        <v>345691910.7435227</v>
      </c>
      <c r="E63" s="291">
        <v>187734206.88000003</v>
      </c>
      <c r="F63" s="291">
        <v>1285537805.2635226</v>
      </c>
      <c r="G63" s="292"/>
      <c r="I63" s="289">
        <v>25</v>
      </c>
      <c r="J63" s="290" t="s">
        <v>351</v>
      </c>
      <c r="K63" s="291">
        <v>752112</v>
      </c>
      <c r="L63" s="291">
        <v>345692</v>
      </c>
      <c r="M63" s="291">
        <v>187734</v>
      </c>
      <c r="N63" s="291">
        <f t="shared" si="1"/>
        <v>1285538</v>
      </c>
      <c r="O63" s="292"/>
    </row>
    <row r="64" spans="1:15" x14ac:dyDescent="0.35">
      <c r="A64" s="289">
        <v>26</v>
      </c>
      <c r="B64" s="290" t="s">
        <v>352</v>
      </c>
      <c r="C64" s="291">
        <v>639238656.60000002</v>
      </c>
      <c r="D64" s="291">
        <v>376580183.1224128</v>
      </c>
      <c r="E64" s="291">
        <v>150344695.20000002</v>
      </c>
      <c r="F64" s="291">
        <v>1166163534.9224129</v>
      </c>
      <c r="G64" s="292"/>
      <c r="I64" s="289">
        <v>26</v>
      </c>
      <c r="J64" s="290" t="s">
        <v>352</v>
      </c>
      <c r="K64" s="291">
        <v>639239</v>
      </c>
      <c r="L64" s="291">
        <v>376580</v>
      </c>
      <c r="M64" s="291">
        <v>150345</v>
      </c>
      <c r="N64" s="291">
        <f t="shared" si="1"/>
        <v>1166164</v>
      </c>
      <c r="O64" s="292"/>
    </row>
    <row r="65" spans="1:19" x14ac:dyDescent="0.35">
      <c r="A65" s="289">
        <v>27</v>
      </c>
      <c r="B65" s="290" t="s">
        <v>353</v>
      </c>
      <c r="C65" s="291">
        <v>1237931499.3600001</v>
      </c>
      <c r="D65" s="291">
        <v>671527169.58370054</v>
      </c>
      <c r="E65" s="291">
        <v>302607985.92000002</v>
      </c>
      <c r="F65" s="291">
        <v>2212066654.8637004</v>
      </c>
      <c r="G65" s="292"/>
      <c r="I65" s="289">
        <v>27</v>
      </c>
      <c r="J65" s="290" t="s">
        <v>353</v>
      </c>
      <c r="K65" s="291">
        <v>1237931</v>
      </c>
      <c r="L65" s="291">
        <v>671527</v>
      </c>
      <c r="M65" s="291">
        <v>302608</v>
      </c>
      <c r="N65" s="291">
        <f t="shared" si="1"/>
        <v>2212066</v>
      </c>
      <c r="O65" s="292"/>
    </row>
    <row r="66" spans="1:19" x14ac:dyDescent="0.35">
      <c r="A66" s="289">
        <v>28</v>
      </c>
      <c r="B66" s="290" t="s">
        <v>354</v>
      </c>
      <c r="C66" s="291">
        <v>710062926</v>
      </c>
      <c r="D66" s="291">
        <v>427636334.07974142</v>
      </c>
      <c r="E66" s="291">
        <v>171858984.00000003</v>
      </c>
      <c r="F66" s="291">
        <v>1309558244.0797415</v>
      </c>
      <c r="G66" s="292"/>
      <c r="I66" s="289">
        <v>28</v>
      </c>
      <c r="J66" s="290" t="s">
        <v>354</v>
      </c>
      <c r="K66" s="291">
        <v>710063</v>
      </c>
      <c r="L66" s="291">
        <v>427636</v>
      </c>
      <c r="M66" s="291">
        <v>171859</v>
      </c>
      <c r="N66" s="291">
        <f t="shared" si="1"/>
        <v>1309558</v>
      </c>
      <c r="O66" s="292"/>
    </row>
    <row r="67" spans="1:19" x14ac:dyDescent="0.35">
      <c r="A67" s="289">
        <v>29</v>
      </c>
      <c r="B67" s="290" t="s">
        <v>355</v>
      </c>
      <c r="C67" s="291">
        <v>1024572521.76</v>
      </c>
      <c r="D67" s="291">
        <v>594323393.79806113</v>
      </c>
      <c r="E67" s="291">
        <v>269172385.92000008</v>
      </c>
      <c r="F67" s="291">
        <v>1888068301.478061</v>
      </c>
      <c r="G67" s="292"/>
      <c r="I67" s="289">
        <v>29</v>
      </c>
      <c r="J67" s="290" t="s">
        <v>355</v>
      </c>
      <c r="K67" s="291">
        <v>1024573</v>
      </c>
      <c r="L67" s="291">
        <v>594323</v>
      </c>
      <c r="M67" s="291">
        <v>269172</v>
      </c>
      <c r="N67" s="291">
        <f t="shared" si="1"/>
        <v>1888068</v>
      </c>
      <c r="O67" s="292"/>
    </row>
    <row r="68" spans="1:19" x14ac:dyDescent="0.35">
      <c r="A68" s="289">
        <v>30</v>
      </c>
      <c r="B68" s="290" t="s">
        <v>356</v>
      </c>
      <c r="C68" s="291">
        <v>863653191.53999996</v>
      </c>
      <c r="D68" s="291">
        <v>382136524.51410919</v>
      </c>
      <c r="E68" s="291">
        <v>213883885.68000001</v>
      </c>
      <c r="F68" s="291">
        <v>1459673601.7341094</v>
      </c>
      <c r="G68" s="292"/>
      <c r="I68" s="289">
        <v>30</v>
      </c>
      <c r="J68" s="290" t="s">
        <v>356</v>
      </c>
      <c r="K68" s="291">
        <v>863653</v>
      </c>
      <c r="L68" s="291">
        <v>382137</v>
      </c>
      <c r="M68" s="291">
        <v>213884</v>
      </c>
      <c r="N68" s="291">
        <f t="shared" si="1"/>
        <v>1459674</v>
      </c>
      <c r="O68" s="292"/>
    </row>
    <row r="69" spans="1:19" x14ac:dyDescent="0.35">
      <c r="A69" s="289">
        <v>31</v>
      </c>
      <c r="B69" s="290" t="s">
        <v>357</v>
      </c>
      <c r="C69" s="291">
        <v>1363504123.9200001</v>
      </c>
      <c r="D69" s="291">
        <v>843038291.12715137</v>
      </c>
      <c r="E69" s="291">
        <v>322058994.24000001</v>
      </c>
      <c r="F69" s="291">
        <v>2528601409.2871518</v>
      </c>
      <c r="G69" s="292"/>
      <c r="I69" s="289">
        <v>31</v>
      </c>
      <c r="J69" s="290" t="s">
        <v>357</v>
      </c>
      <c r="K69" s="291">
        <v>1363504</v>
      </c>
      <c r="L69" s="291">
        <v>843038</v>
      </c>
      <c r="M69" s="291">
        <v>322059</v>
      </c>
      <c r="N69" s="291">
        <f t="shared" si="1"/>
        <v>2528601</v>
      </c>
      <c r="O69" s="292"/>
    </row>
    <row r="70" spans="1:19" x14ac:dyDescent="0.35">
      <c r="A70" s="289">
        <v>32</v>
      </c>
      <c r="B70" s="290" t="s">
        <v>358</v>
      </c>
      <c r="C70" s="291">
        <v>2228082342</v>
      </c>
      <c r="D70" s="291">
        <v>1269150881.0557177</v>
      </c>
      <c r="E70" s="291">
        <v>536124648.00000006</v>
      </c>
      <c r="F70" s="291">
        <v>4033357871.0557179</v>
      </c>
      <c r="G70" s="292"/>
      <c r="I70" s="289">
        <v>32</v>
      </c>
      <c r="J70" s="290" t="s">
        <v>358</v>
      </c>
      <c r="K70" s="291">
        <v>2228082</v>
      </c>
      <c r="L70" s="291">
        <v>1269151</v>
      </c>
      <c r="M70" s="291">
        <v>536125</v>
      </c>
      <c r="N70" s="291">
        <f t="shared" si="1"/>
        <v>4033358</v>
      </c>
      <c r="O70" s="292"/>
    </row>
    <row r="71" spans="1:19" x14ac:dyDescent="0.35">
      <c r="A71" s="289">
        <v>33</v>
      </c>
      <c r="B71" s="290" t="s">
        <v>359</v>
      </c>
      <c r="C71" s="291">
        <v>2747011941.2399998</v>
      </c>
      <c r="D71" s="291">
        <v>1475510964.9948292</v>
      </c>
      <c r="E71" s="291">
        <v>659188325.27999997</v>
      </c>
      <c r="F71" s="291">
        <v>4881711231.5148296</v>
      </c>
      <c r="G71" s="292"/>
      <c r="I71" s="289">
        <v>33</v>
      </c>
      <c r="J71" s="290" t="s">
        <v>359</v>
      </c>
      <c r="K71" s="291">
        <v>2747012</v>
      </c>
      <c r="L71" s="291">
        <v>1475511</v>
      </c>
      <c r="M71" s="291">
        <v>659188</v>
      </c>
      <c r="N71" s="291">
        <f t="shared" si="1"/>
        <v>4881711</v>
      </c>
      <c r="O71" s="292"/>
    </row>
    <row r="72" spans="1:19" s="288" customFormat="1" x14ac:dyDescent="0.35">
      <c r="A72" s="289">
        <v>34</v>
      </c>
      <c r="B72" s="290" t="s">
        <v>368</v>
      </c>
      <c r="C72" s="291">
        <v>153465576</v>
      </c>
      <c r="D72" s="291">
        <v>97202148.870673329</v>
      </c>
      <c r="E72" s="291">
        <v>36475200</v>
      </c>
      <c r="F72" s="291">
        <v>287142924.8706733</v>
      </c>
      <c r="G72" s="292"/>
      <c r="I72" s="289">
        <v>34</v>
      </c>
      <c r="J72" s="290" t="s">
        <v>368</v>
      </c>
      <c r="K72" s="291">
        <v>153466</v>
      </c>
      <c r="L72" s="291">
        <v>97202</v>
      </c>
      <c r="M72" s="291">
        <v>36475</v>
      </c>
      <c r="N72" s="291">
        <f t="shared" si="1"/>
        <v>287143</v>
      </c>
      <c r="O72" s="292"/>
      <c r="Q72" s="283"/>
      <c r="R72" s="283"/>
      <c r="S72" s="283"/>
    </row>
    <row r="73" spans="1:19" x14ac:dyDescent="0.35">
      <c r="A73" s="289">
        <v>35</v>
      </c>
      <c r="B73" s="290" t="s">
        <v>369</v>
      </c>
      <c r="C73" s="294">
        <v>525341070</v>
      </c>
      <c r="D73" s="294">
        <v>239042501.45737901</v>
      </c>
      <c r="E73" s="294">
        <v>126629736.00000001</v>
      </c>
      <c r="F73" s="294">
        <v>891013307.45737898</v>
      </c>
      <c r="G73" s="292"/>
      <c r="I73" s="289">
        <v>35</v>
      </c>
      <c r="J73" s="290" t="s">
        <v>369</v>
      </c>
      <c r="K73" s="294">
        <v>525341</v>
      </c>
      <c r="L73" s="294">
        <v>239043</v>
      </c>
      <c r="M73" s="294">
        <v>126630</v>
      </c>
      <c r="N73" s="291">
        <f t="shared" si="1"/>
        <v>891014</v>
      </c>
      <c r="O73" s="292"/>
    </row>
    <row r="74" spans="1:19" x14ac:dyDescent="0.35">
      <c r="A74" s="295"/>
      <c r="B74" s="295" t="s">
        <v>370</v>
      </c>
      <c r="C74" s="296">
        <f>SUM(C49:C72)</f>
        <v>30361913981.759995</v>
      </c>
      <c r="D74" s="296">
        <f>SUM(D49:D72)</f>
        <v>16465948095.343353</v>
      </c>
      <c r="E74" s="296">
        <f>SUM(E49:E72)</f>
        <v>7400815648.3199987</v>
      </c>
      <c r="F74" s="296">
        <f>SUM(F49:F73)</f>
        <v>55119691032.880737</v>
      </c>
      <c r="G74" s="297"/>
      <c r="I74" s="295"/>
      <c r="J74" s="295" t="s">
        <v>370</v>
      </c>
      <c r="K74" s="296">
        <f>SUM(K49:K72)</f>
        <v>30361913</v>
      </c>
      <c r="L74" s="296">
        <f>SUM(L49:L72)</f>
        <v>16465947</v>
      </c>
      <c r="M74" s="296">
        <f>SUM(M49:M72)</f>
        <v>7400814</v>
      </c>
      <c r="N74" s="296">
        <f>SUM(N49:N73)</f>
        <v>55119688</v>
      </c>
      <c r="O74" s="297"/>
    </row>
  </sheetData>
  <mergeCells count="6">
    <mergeCell ref="A1:B1"/>
    <mergeCell ref="I1:J1"/>
    <mergeCell ref="A2:B2"/>
    <mergeCell ref="I2:J2"/>
    <mergeCell ref="A3:G3"/>
    <mergeCell ref="I3:O3"/>
  </mergeCells>
  <pageMargins left="0.33" right="0.17" top="0.24" bottom="0.17"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A01F0-1DD4-48D6-9545-CDC8FAEDD376}">
  <sheetPr>
    <tabColor rgb="FFFFFF00"/>
    <pageSetUpPr fitToPage="1"/>
  </sheetPr>
  <dimension ref="A1:Q120"/>
  <sheetViews>
    <sheetView zoomScale="85" zoomScaleNormal="85" workbookViewId="0">
      <pane xSplit="3" ySplit="5" topLeftCell="D6" activePane="bottomRight" state="frozen"/>
      <selection pane="topRight" activeCell="D1" sqref="D1"/>
      <selection pane="bottomLeft" activeCell="A6" sqref="A6"/>
      <selection pane="bottomRight" activeCell="E67" sqref="E67"/>
    </sheetView>
  </sheetViews>
  <sheetFormatPr defaultRowHeight="14.5" x14ac:dyDescent="0.35"/>
  <cols>
    <col min="1" max="1" width="4.90625" style="56" customWidth="1"/>
    <col min="2" max="2" width="31" style="57" customWidth="1"/>
    <col min="3" max="3" width="8.26953125" style="57" customWidth="1"/>
    <col min="4" max="4" width="13" style="57" customWidth="1"/>
    <col min="5" max="5" width="12.08984375" style="57" customWidth="1"/>
    <col min="6" max="10" width="8.08984375" style="57" customWidth="1"/>
    <col min="11" max="12" width="8.08984375" customWidth="1"/>
    <col min="13" max="13" width="68.7265625" style="57" customWidth="1"/>
  </cols>
  <sheetData>
    <row r="1" spans="1:17" ht="14.25" customHeight="1" x14ac:dyDescent="0.35">
      <c r="A1" s="823" t="s">
        <v>0</v>
      </c>
      <c r="B1" s="823"/>
      <c r="C1" s="1"/>
      <c r="D1" s="1"/>
      <c r="E1" s="1"/>
      <c r="F1" s="1"/>
      <c r="G1" s="1"/>
      <c r="H1" s="1"/>
      <c r="I1" s="1"/>
      <c r="J1" s="1"/>
      <c r="K1" s="824" t="s">
        <v>1</v>
      </c>
      <c r="L1" s="824"/>
      <c r="M1" s="1"/>
      <c r="N1" s="34"/>
      <c r="O1" s="34"/>
      <c r="P1" s="34"/>
      <c r="Q1" s="34"/>
    </row>
    <row r="2" spans="1:17" x14ac:dyDescent="0.35">
      <c r="A2" s="825" t="s">
        <v>2</v>
      </c>
      <c r="B2" s="825"/>
      <c r="C2" s="1"/>
      <c r="D2" s="1"/>
      <c r="E2" s="1"/>
      <c r="F2" s="1"/>
      <c r="G2" s="1"/>
      <c r="H2" s="1"/>
      <c r="I2" s="1"/>
      <c r="J2" s="1"/>
      <c r="K2" s="2"/>
      <c r="L2" s="2"/>
      <c r="M2" s="1"/>
      <c r="N2" s="34"/>
      <c r="O2" s="34"/>
      <c r="P2" s="34"/>
      <c r="Q2" s="34"/>
    </row>
    <row r="3" spans="1:17" ht="22.5" customHeight="1" x14ac:dyDescent="0.35">
      <c r="A3" s="817" t="s">
        <v>44</v>
      </c>
      <c r="B3" s="817"/>
      <c r="C3" s="817"/>
      <c r="D3" s="817"/>
      <c r="E3" s="817"/>
      <c r="F3" s="817"/>
      <c r="G3" s="817"/>
      <c r="H3" s="817"/>
      <c r="I3" s="817"/>
      <c r="J3" s="817"/>
      <c r="K3" s="817"/>
      <c r="L3" s="817"/>
      <c r="M3" s="1"/>
      <c r="N3" s="34"/>
      <c r="O3" s="34"/>
      <c r="P3" s="34"/>
      <c r="Q3" s="34"/>
    </row>
    <row r="4" spans="1:17" ht="23.25" customHeight="1" thickBot="1" x14ac:dyDescent="0.4">
      <c r="A4" s="3"/>
      <c r="B4" s="3"/>
      <c r="C4" s="3"/>
      <c r="D4" s="3"/>
      <c r="E4" s="3"/>
      <c r="F4" s="3"/>
      <c r="G4" s="3"/>
      <c r="H4" s="3"/>
      <c r="I4" s="3"/>
      <c r="J4" s="3"/>
      <c r="K4" s="3"/>
      <c r="L4" s="4" t="s">
        <v>4</v>
      </c>
      <c r="M4" s="1"/>
      <c r="N4" s="34"/>
      <c r="O4" s="34"/>
      <c r="P4" s="34"/>
      <c r="Q4" s="34"/>
    </row>
    <row r="5" spans="1:17" ht="49.5" customHeight="1" thickTop="1" x14ac:dyDescent="0.35">
      <c r="A5" s="5" t="s">
        <v>5</v>
      </c>
      <c r="B5" s="6" t="s">
        <v>6</v>
      </c>
      <c r="C5" s="6" t="s">
        <v>7</v>
      </c>
      <c r="D5" s="6" t="s">
        <v>754</v>
      </c>
      <c r="E5" s="6" t="s">
        <v>755</v>
      </c>
      <c r="F5" s="6" t="s">
        <v>10</v>
      </c>
      <c r="G5" s="6" t="s">
        <v>11</v>
      </c>
      <c r="H5" s="6" t="s">
        <v>12</v>
      </c>
      <c r="I5" s="6" t="s">
        <v>13</v>
      </c>
      <c r="J5" s="6" t="s">
        <v>14</v>
      </c>
      <c r="K5" s="6" t="s">
        <v>15</v>
      </c>
      <c r="L5" s="7" t="s">
        <v>16</v>
      </c>
      <c r="M5" s="1"/>
      <c r="N5" s="34"/>
      <c r="O5" s="34"/>
      <c r="P5" s="34"/>
      <c r="Q5" s="34"/>
    </row>
    <row r="6" spans="1:17" s="42" customFormat="1" ht="19.5" customHeight="1" x14ac:dyDescent="0.35">
      <c r="A6" s="35" t="s">
        <v>17</v>
      </c>
      <c r="B6" s="36" t="s">
        <v>45</v>
      </c>
      <c r="C6" s="37"/>
      <c r="D6" s="38"/>
      <c r="E6" s="38"/>
      <c r="F6" s="38"/>
      <c r="G6" s="38"/>
      <c r="H6" s="38"/>
      <c r="I6" s="38"/>
      <c r="J6" s="38"/>
      <c r="K6" s="38"/>
      <c r="L6" s="39"/>
      <c r="M6" s="40"/>
      <c r="N6" s="41"/>
      <c r="O6" s="41"/>
      <c r="P6" s="41"/>
      <c r="Q6" s="41"/>
    </row>
    <row r="7" spans="1:17" s="42" customFormat="1" ht="19.5" customHeight="1" x14ac:dyDescent="0.35">
      <c r="A7" s="35" t="s">
        <v>19</v>
      </c>
      <c r="B7" s="36" t="s">
        <v>503</v>
      </c>
      <c r="C7" s="37"/>
      <c r="D7" s="38"/>
      <c r="E7" s="38"/>
      <c r="F7" s="38"/>
      <c r="G7" s="38"/>
      <c r="H7" s="38"/>
      <c r="I7" s="38"/>
      <c r="J7" s="38"/>
      <c r="K7" s="38"/>
      <c r="L7" s="39"/>
      <c r="M7" s="40"/>
      <c r="N7" s="41"/>
      <c r="O7" s="41"/>
      <c r="P7" s="41"/>
      <c r="Q7" s="41"/>
    </row>
    <row r="8" spans="1:17" s="42" customFormat="1" ht="73.5" customHeight="1" x14ac:dyDescent="0.35">
      <c r="A8" s="13" t="s">
        <v>21</v>
      </c>
      <c r="B8" s="14" t="s">
        <v>46</v>
      </c>
      <c r="C8" s="15" t="s">
        <v>47</v>
      </c>
      <c r="D8" s="16">
        <f>SUM(D9:D11)</f>
        <v>35</v>
      </c>
      <c r="E8" s="16">
        <f t="shared" ref="E8:J8" si="0">SUM(E9:E11)</f>
        <v>223</v>
      </c>
      <c r="F8" s="16">
        <f t="shared" si="0"/>
        <v>0</v>
      </c>
      <c r="G8" s="16">
        <f t="shared" si="0"/>
        <v>0</v>
      </c>
      <c r="H8" s="16">
        <f t="shared" si="0"/>
        <v>0</v>
      </c>
      <c r="I8" s="16">
        <f t="shared" si="0"/>
        <v>0</v>
      </c>
      <c r="J8" s="16">
        <f t="shared" si="0"/>
        <v>0</v>
      </c>
      <c r="K8" s="16">
        <f>SUM(D8:J8)</f>
        <v>258</v>
      </c>
      <c r="L8" s="17"/>
      <c r="M8" s="40"/>
      <c r="N8" s="41"/>
      <c r="O8" s="41"/>
      <c r="P8" s="41"/>
      <c r="Q8" s="41"/>
    </row>
    <row r="9" spans="1:17" s="42" customFormat="1" ht="26" x14ac:dyDescent="0.35">
      <c r="A9" s="13"/>
      <c r="B9" s="18" t="s">
        <v>48</v>
      </c>
      <c r="C9" s="15" t="s">
        <v>47</v>
      </c>
      <c r="D9" s="515"/>
      <c r="E9" s="16"/>
      <c r="F9" s="16"/>
      <c r="G9" s="16"/>
      <c r="H9" s="16"/>
      <c r="I9" s="16"/>
      <c r="J9" s="16"/>
      <c r="K9" s="16">
        <f>SUM(D9:J9)</f>
        <v>0</v>
      </c>
      <c r="L9" s="17"/>
      <c r="M9" s="40"/>
      <c r="N9" s="41"/>
      <c r="O9" s="41"/>
      <c r="P9" s="41"/>
      <c r="Q9" s="41"/>
    </row>
    <row r="10" spans="1:17" s="42" customFormat="1" x14ac:dyDescent="0.35">
      <c r="A10" s="13"/>
      <c r="B10" s="18" t="s">
        <v>49</v>
      </c>
      <c r="C10" s="15" t="s">
        <v>47</v>
      </c>
      <c r="D10" s="16">
        <v>35</v>
      </c>
      <c r="E10" s="16">
        <v>179</v>
      </c>
      <c r="F10" s="16"/>
      <c r="G10" s="16"/>
      <c r="H10" s="16"/>
      <c r="I10" s="16"/>
      <c r="J10" s="16"/>
      <c r="K10" s="16"/>
      <c r="L10" s="17"/>
      <c r="M10" s="40"/>
      <c r="N10" s="41"/>
      <c r="O10" s="41"/>
      <c r="P10" s="41"/>
      <c r="Q10" s="41"/>
    </row>
    <row r="11" spans="1:17" s="42" customFormat="1" x14ac:dyDescent="0.35">
      <c r="A11" s="13"/>
      <c r="B11" s="18" t="s">
        <v>50</v>
      </c>
      <c r="C11" s="15" t="s">
        <v>47</v>
      </c>
      <c r="D11" s="16"/>
      <c r="E11" s="16">
        <v>44</v>
      </c>
      <c r="F11" s="16"/>
      <c r="G11" s="16"/>
      <c r="H11" s="16"/>
      <c r="I11" s="16"/>
      <c r="J11" s="16"/>
      <c r="K11" s="16">
        <f>SUM(D11:J11)</f>
        <v>44</v>
      </c>
      <c r="L11" s="17"/>
      <c r="M11" s="40"/>
      <c r="N11" s="41"/>
      <c r="O11" s="41"/>
      <c r="P11" s="41"/>
      <c r="Q11" s="41"/>
    </row>
    <row r="12" spans="1:17" s="42" customFormat="1" ht="62.25" customHeight="1" x14ac:dyDescent="0.35">
      <c r="A12" s="13" t="s">
        <v>30</v>
      </c>
      <c r="B12" s="14" t="s">
        <v>51</v>
      </c>
      <c r="C12" s="15" t="s">
        <v>47</v>
      </c>
      <c r="D12" s="16">
        <f t="shared" ref="D12:J12" si="1">SUM(D13:D15)</f>
        <v>35</v>
      </c>
      <c r="E12" s="16">
        <f t="shared" si="1"/>
        <v>223</v>
      </c>
      <c r="F12" s="16">
        <f t="shared" si="1"/>
        <v>0</v>
      </c>
      <c r="G12" s="16">
        <f t="shared" si="1"/>
        <v>0</v>
      </c>
      <c r="H12" s="16">
        <f t="shared" si="1"/>
        <v>0</v>
      </c>
      <c r="I12" s="16">
        <f t="shared" si="1"/>
        <v>0</v>
      </c>
      <c r="J12" s="16">
        <f t="shared" si="1"/>
        <v>0</v>
      </c>
      <c r="K12" s="16">
        <f>SUM(D12:J12)</f>
        <v>258</v>
      </c>
      <c r="L12" s="17"/>
      <c r="M12" s="40"/>
      <c r="N12" s="41"/>
      <c r="O12" s="41"/>
      <c r="P12" s="41"/>
      <c r="Q12" s="41"/>
    </row>
    <row r="13" spans="1:17" s="42" customFormat="1" ht="26" x14ac:dyDescent="0.35">
      <c r="A13" s="13"/>
      <c r="B13" s="18" t="s">
        <v>48</v>
      </c>
      <c r="C13" s="15" t="s">
        <v>47</v>
      </c>
      <c r="D13" s="515"/>
      <c r="E13" s="16"/>
      <c r="F13" s="16"/>
      <c r="G13" s="16"/>
      <c r="H13" s="16"/>
      <c r="I13" s="16"/>
      <c r="J13" s="16"/>
      <c r="K13" s="16">
        <f>SUM(D13:J13)</f>
        <v>0</v>
      </c>
      <c r="L13" s="17"/>
      <c r="M13" s="40"/>
      <c r="N13" s="41"/>
      <c r="O13" s="41"/>
      <c r="P13" s="41"/>
      <c r="Q13" s="41"/>
    </row>
    <row r="14" spans="1:17" s="42" customFormat="1" x14ac:dyDescent="0.35">
      <c r="A14" s="13"/>
      <c r="B14" s="18" t="s">
        <v>49</v>
      </c>
      <c r="C14" s="15" t="s">
        <v>47</v>
      </c>
      <c r="D14" s="16">
        <v>35</v>
      </c>
      <c r="E14" s="16">
        <v>179</v>
      </c>
      <c r="F14" s="16"/>
      <c r="G14" s="16"/>
      <c r="H14" s="16"/>
      <c r="I14" s="16"/>
      <c r="J14" s="16"/>
      <c r="K14" s="16"/>
      <c r="L14" s="17"/>
      <c r="M14" s="40"/>
      <c r="N14" s="41"/>
      <c r="O14" s="41"/>
      <c r="P14" s="41"/>
      <c r="Q14" s="41"/>
    </row>
    <row r="15" spans="1:17" s="42" customFormat="1" x14ac:dyDescent="0.35">
      <c r="A15" s="13"/>
      <c r="B15" s="18" t="s">
        <v>50</v>
      </c>
      <c r="C15" s="15" t="s">
        <v>47</v>
      </c>
      <c r="D15" s="16"/>
      <c r="E15" s="16">
        <v>44</v>
      </c>
      <c r="F15" s="16"/>
      <c r="G15" s="16"/>
      <c r="H15" s="16"/>
      <c r="I15" s="16"/>
      <c r="J15" s="16"/>
      <c r="K15" s="16">
        <f>SUM(D15:J15)</f>
        <v>44</v>
      </c>
      <c r="L15" s="17"/>
      <c r="M15" s="40"/>
      <c r="N15" s="41"/>
      <c r="O15" s="41"/>
      <c r="P15" s="41"/>
      <c r="Q15" s="41"/>
    </row>
    <row r="16" spans="1:17" s="42" customFormat="1" ht="54" x14ac:dyDescent="0.35">
      <c r="A16" s="13" t="s">
        <v>32</v>
      </c>
      <c r="B16" s="20" t="s">
        <v>52</v>
      </c>
      <c r="C16" s="15" t="s">
        <v>47</v>
      </c>
      <c r="D16" s="16">
        <v>0</v>
      </c>
      <c r="E16" s="16"/>
      <c r="F16" s="16"/>
      <c r="G16" s="16"/>
      <c r="H16" s="16"/>
      <c r="I16" s="16"/>
      <c r="J16" s="16">
        <v>0</v>
      </c>
      <c r="K16" s="16">
        <f>SUM(D16:J16)</f>
        <v>0</v>
      </c>
      <c r="L16" s="17"/>
      <c r="M16" s="40"/>
      <c r="N16" s="41"/>
      <c r="O16" s="41"/>
      <c r="P16" s="41"/>
      <c r="Q16" s="41"/>
    </row>
    <row r="17" spans="1:17" s="42" customFormat="1" x14ac:dyDescent="0.35">
      <c r="A17" s="13"/>
      <c r="B17" s="18" t="s">
        <v>53</v>
      </c>
      <c r="C17" s="15" t="s">
        <v>47</v>
      </c>
      <c r="D17" s="16">
        <v>15</v>
      </c>
      <c r="E17" s="16">
        <v>60</v>
      </c>
      <c r="F17" s="16"/>
      <c r="G17" s="16"/>
      <c r="H17" s="16"/>
      <c r="I17" s="16"/>
      <c r="J17" s="16"/>
      <c r="K17" s="16"/>
      <c r="L17" s="17"/>
      <c r="M17" s="40"/>
      <c r="N17" s="41"/>
      <c r="O17" s="41"/>
      <c r="P17" s="41"/>
      <c r="Q17" s="41"/>
    </row>
    <row r="18" spans="1:17" s="45" customFormat="1" ht="76.5" customHeight="1" x14ac:dyDescent="0.35">
      <c r="A18" s="13" t="s">
        <v>35</v>
      </c>
      <c r="B18" s="14" t="s">
        <v>54</v>
      </c>
      <c r="C18" s="15" t="s">
        <v>47</v>
      </c>
      <c r="D18" s="22">
        <f>SUM(D19:D22)</f>
        <v>15</v>
      </c>
      <c r="E18" s="22">
        <f t="shared" ref="E18:J18" si="2">SUM(E19:E22)</f>
        <v>60</v>
      </c>
      <c r="F18" s="22">
        <f t="shared" si="2"/>
        <v>0</v>
      </c>
      <c r="G18" s="22">
        <f t="shared" si="2"/>
        <v>0</v>
      </c>
      <c r="H18" s="22">
        <f t="shared" si="2"/>
        <v>0</v>
      </c>
      <c r="I18" s="22">
        <f t="shared" si="2"/>
        <v>0</v>
      </c>
      <c r="J18" s="22">
        <f t="shared" si="2"/>
        <v>0</v>
      </c>
      <c r="K18" s="16">
        <f>SUM(D18:J18)</f>
        <v>75</v>
      </c>
      <c r="L18" s="23"/>
      <c r="M18" s="43"/>
      <c r="N18" s="44"/>
      <c r="O18" s="44"/>
      <c r="P18" s="44"/>
      <c r="Q18" s="44"/>
    </row>
    <row r="19" spans="1:17" s="42" customFormat="1" ht="26" x14ac:dyDescent="0.35">
      <c r="A19" s="13"/>
      <c r="B19" s="18" t="s">
        <v>48</v>
      </c>
      <c r="C19" s="15" t="s">
        <v>47</v>
      </c>
      <c r="D19" s="16">
        <v>0</v>
      </c>
      <c r="E19" s="16"/>
      <c r="F19" s="16"/>
      <c r="G19" s="16"/>
      <c r="H19" s="16"/>
      <c r="I19" s="16"/>
      <c r="J19" s="16"/>
      <c r="K19" s="16">
        <f>SUM(D19:J19)</f>
        <v>0</v>
      </c>
      <c r="L19" s="17"/>
      <c r="M19" s="40"/>
      <c r="N19" s="41"/>
      <c r="O19" s="41"/>
      <c r="P19" s="41"/>
      <c r="Q19" s="41"/>
    </row>
    <row r="20" spans="1:17" s="42" customFormat="1" x14ac:dyDescent="0.35">
      <c r="A20" s="13"/>
      <c r="B20" s="18" t="s">
        <v>49</v>
      </c>
      <c r="C20" s="15" t="s">
        <v>47</v>
      </c>
      <c r="D20" s="16">
        <v>0</v>
      </c>
      <c r="E20" s="16"/>
      <c r="F20" s="16"/>
      <c r="G20" s="16"/>
      <c r="H20" s="16"/>
      <c r="I20" s="16"/>
      <c r="J20" s="16"/>
      <c r="K20" s="16"/>
      <c r="L20" s="17"/>
      <c r="M20" s="40"/>
      <c r="N20" s="41"/>
      <c r="O20" s="41"/>
      <c r="P20" s="41"/>
      <c r="Q20" s="41"/>
    </row>
    <row r="21" spans="1:17" s="42" customFormat="1" x14ac:dyDescent="0.35">
      <c r="A21" s="13"/>
      <c r="B21" s="18" t="s">
        <v>50</v>
      </c>
      <c r="C21" s="15" t="s">
        <v>47</v>
      </c>
      <c r="D21" s="16">
        <f>+D11-D15</f>
        <v>0</v>
      </c>
      <c r="E21" s="16"/>
      <c r="F21" s="16"/>
      <c r="G21" s="16"/>
      <c r="H21" s="16"/>
      <c r="I21" s="16"/>
      <c r="J21" s="16"/>
      <c r="K21" s="16">
        <f>SUM(D21:J21)</f>
        <v>0</v>
      </c>
      <c r="L21" s="17"/>
      <c r="M21" s="40"/>
      <c r="N21" s="41"/>
      <c r="O21" s="41"/>
      <c r="P21" s="41"/>
      <c r="Q21" s="41"/>
    </row>
    <row r="22" spans="1:17" s="42" customFormat="1" x14ac:dyDescent="0.35">
      <c r="A22" s="13"/>
      <c r="B22" s="18" t="s">
        <v>53</v>
      </c>
      <c r="C22" s="15" t="s">
        <v>47</v>
      </c>
      <c r="D22" s="16">
        <f>+D17</f>
        <v>15</v>
      </c>
      <c r="E22" s="16">
        <v>60</v>
      </c>
      <c r="F22" s="16"/>
      <c r="G22" s="16"/>
      <c r="H22" s="16"/>
      <c r="I22" s="16"/>
      <c r="J22" s="16"/>
      <c r="K22" s="16"/>
      <c r="L22" s="17"/>
      <c r="M22" s="40"/>
      <c r="N22" s="41"/>
      <c r="O22" s="41"/>
      <c r="P22" s="41"/>
      <c r="Q22" s="41"/>
    </row>
    <row r="23" spans="1:17" s="42" customFormat="1" ht="19.5" customHeight="1" x14ac:dyDescent="0.35">
      <c r="A23" s="35" t="s">
        <v>41</v>
      </c>
      <c r="B23" s="36" t="s">
        <v>504</v>
      </c>
      <c r="C23" s="37"/>
      <c r="D23" s="38"/>
      <c r="E23" s="38"/>
      <c r="F23" s="38"/>
      <c r="G23" s="38"/>
      <c r="H23" s="38"/>
      <c r="I23" s="38"/>
      <c r="J23" s="38"/>
      <c r="K23" s="38"/>
      <c r="L23" s="39"/>
      <c r="M23" s="40"/>
      <c r="N23" s="41"/>
      <c r="O23" s="41"/>
      <c r="P23" s="41"/>
      <c r="Q23" s="41"/>
    </row>
    <row r="24" spans="1:17" s="42" customFormat="1" ht="73.5" customHeight="1" x14ac:dyDescent="0.35">
      <c r="A24" s="13" t="s">
        <v>21</v>
      </c>
      <c r="B24" s="14" t="s">
        <v>46</v>
      </c>
      <c r="C24" s="15" t="s">
        <v>47</v>
      </c>
      <c r="D24" s="16">
        <f>SUM(D25:D27)</f>
        <v>0</v>
      </c>
      <c r="E24" s="16">
        <f t="shared" ref="E24:J24" si="3">SUM(E25:E27)</f>
        <v>2</v>
      </c>
      <c r="F24" s="16">
        <f t="shared" si="3"/>
        <v>0</v>
      </c>
      <c r="G24" s="16">
        <f t="shared" si="3"/>
        <v>0</v>
      </c>
      <c r="H24" s="16">
        <f t="shared" si="3"/>
        <v>0</v>
      </c>
      <c r="I24" s="16">
        <f t="shared" si="3"/>
        <v>0</v>
      </c>
      <c r="J24" s="16">
        <f t="shared" si="3"/>
        <v>0</v>
      </c>
      <c r="K24" s="16">
        <f>SUM(D24:J24)</f>
        <v>2</v>
      </c>
      <c r="L24" s="17"/>
      <c r="M24" s="40"/>
      <c r="N24" s="41"/>
      <c r="O24" s="41"/>
      <c r="P24" s="41"/>
      <c r="Q24" s="41"/>
    </row>
    <row r="25" spans="1:17" s="42" customFormat="1" ht="26" x14ac:dyDescent="0.35">
      <c r="A25" s="13"/>
      <c r="B25" s="18" t="s">
        <v>48</v>
      </c>
      <c r="C25" s="15" t="s">
        <v>47</v>
      </c>
      <c r="D25" s="16"/>
      <c r="E25" s="16"/>
      <c r="F25" s="16"/>
      <c r="G25" s="16"/>
      <c r="H25" s="16"/>
      <c r="I25" s="16"/>
      <c r="J25" s="16"/>
      <c r="K25" s="16">
        <f>SUM(D25:J25)</f>
        <v>0</v>
      </c>
      <c r="L25" s="17"/>
      <c r="M25" s="40"/>
      <c r="N25" s="41"/>
      <c r="O25" s="41"/>
      <c r="P25" s="41"/>
      <c r="Q25" s="41"/>
    </row>
    <row r="26" spans="1:17" s="42" customFormat="1" x14ac:dyDescent="0.35">
      <c r="A26" s="13"/>
      <c r="B26" s="18" t="s">
        <v>49</v>
      </c>
      <c r="C26" s="15" t="s">
        <v>47</v>
      </c>
      <c r="D26" s="16"/>
      <c r="E26" s="16">
        <v>2</v>
      </c>
      <c r="F26" s="16"/>
      <c r="G26" s="16"/>
      <c r="H26" s="16"/>
      <c r="I26" s="16"/>
      <c r="J26" s="16"/>
      <c r="K26" s="16"/>
      <c r="L26" s="17"/>
      <c r="M26" s="40"/>
      <c r="N26" s="41"/>
      <c r="O26" s="41"/>
      <c r="P26" s="41"/>
      <c r="Q26" s="41"/>
    </row>
    <row r="27" spans="1:17" s="42" customFormat="1" x14ac:dyDescent="0.35">
      <c r="A27" s="13"/>
      <c r="B27" s="18" t="s">
        <v>50</v>
      </c>
      <c r="C27" s="15" t="s">
        <v>47</v>
      </c>
      <c r="D27" s="16"/>
      <c r="E27" s="16"/>
      <c r="F27" s="16"/>
      <c r="G27" s="16"/>
      <c r="H27" s="16"/>
      <c r="I27" s="16"/>
      <c r="J27" s="16"/>
      <c r="K27" s="16">
        <f>SUM(D27:J27)</f>
        <v>0</v>
      </c>
      <c r="L27" s="17"/>
      <c r="M27" s="40"/>
      <c r="N27" s="41"/>
      <c r="O27" s="41"/>
      <c r="P27" s="41"/>
      <c r="Q27" s="41"/>
    </row>
    <row r="28" spans="1:17" s="42" customFormat="1" ht="62.25" customHeight="1" x14ac:dyDescent="0.35">
      <c r="A28" s="13" t="s">
        <v>30</v>
      </c>
      <c r="B28" s="14" t="s">
        <v>51</v>
      </c>
      <c r="C28" s="15" t="s">
        <v>47</v>
      </c>
      <c r="D28" s="16">
        <f t="shared" ref="D28:J28" si="4">SUM(D29:D31)</f>
        <v>0</v>
      </c>
      <c r="E28" s="16">
        <f t="shared" si="4"/>
        <v>2</v>
      </c>
      <c r="F28" s="16">
        <f t="shared" si="4"/>
        <v>0</v>
      </c>
      <c r="G28" s="16">
        <f t="shared" si="4"/>
        <v>0</v>
      </c>
      <c r="H28" s="16">
        <f t="shared" si="4"/>
        <v>0</v>
      </c>
      <c r="I28" s="16">
        <f t="shared" si="4"/>
        <v>0</v>
      </c>
      <c r="J28" s="16">
        <f t="shared" si="4"/>
        <v>0</v>
      </c>
      <c r="K28" s="16">
        <f>SUM(D28:J28)</f>
        <v>2</v>
      </c>
      <c r="L28" s="17"/>
      <c r="M28" s="40"/>
      <c r="N28" s="41"/>
      <c r="O28" s="41"/>
      <c r="P28" s="41"/>
      <c r="Q28" s="41"/>
    </row>
    <row r="29" spans="1:17" s="42" customFormat="1" ht="26" x14ac:dyDescent="0.35">
      <c r="A29" s="13"/>
      <c r="B29" s="18" t="s">
        <v>48</v>
      </c>
      <c r="C29" s="15" t="s">
        <v>47</v>
      </c>
      <c r="D29" s="16"/>
      <c r="E29" s="16"/>
      <c r="F29" s="16"/>
      <c r="G29" s="16"/>
      <c r="H29" s="16"/>
      <c r="I29" s="16"/>
      <c r="J29" s="16"/>
      <c r="K29" s="16">
        <f>SUM(D29:J29)</f>
        <v>0</v>
      </c>
      <c r="L29" s="17"/>
      <c r="M29" s="40"/>
      <c r="N29" s="41"/>
      <c r="O29" s="41"/>
      <c r="P29" s="41"/>
      <c r="Q29" s="41"/>
    </row>
    <row r="30" spans="1:17" s="42" customFormat="1" x14ac:dyDescent="0.35">
      <c r="A30" s="13"/>
      <c r="B30" s="18" t="s">
        <v>49</v>
      </c>
      <c r="C30" s="15" t="s">
        <v>47</v>
      </c>
      <c r="D30" s="16"/>
      <c r="E30" s="16">
        <v>2</v>
      </c>
      <c r="F30" s="16"/>
      <c r="G30" s="16"/>
      <c r="H30" s="16"/>
      <c r="I30" s="16"/>
      <c r="J30" s="16"/>
      <c r="K30" s="16"/>
      <c r="L30" s="17"/>
      <c r="M30" s="40"/>
      <c r="N30" s="41"/>
      <c r="O30" s="41"/>
      <c r="P30" s="41"/>
      <c r="Q30" s="41"/>
    </row>
    <row r="31" spans="1:17" s="42" customFormat="1" x14ac:dyDescent="0.35">
      <c r="A31" s="13"/>
      <c r="B31" s="18" t="s">
        <v>50</v>
      </c>
      <c r="C31" s="15" t="s">
        <v>47</v>
      </c>
      <c r="D31" s="16"/>
      <c r="E31" s="16"/>
      <c r="F31" s="16"/>
      <c r="G31" s="16"/>
      <c r="H31" s="16"/>
      <c r="I31" s="16"/>
      <c r="J31" s="16"/>
      <c r="K31" s="16">
        <f>SUM(D31:J31)</f>
        <v>0</v>
      </c>
      <c r="L31" s="17"/>
      <c r="M31" s="40"/>
      <c r="N31" s="41"/>
      <c r="O31" s="41"/>
      <c r="P31" s="41"/>
      <c r="Q31" s="41"/>
    </row>
    <row r="32" spans="1:17" s="42" customFormat="1" ht="54" x14ac:dyDescent="0.35">
      <c r="A32" s="13" t="s">
        <v>32</v>
      </c>
      <c r="B32" s="20" t="s">
        <v>52</v>
      </c>
      <c r="C32" s="15" t="s">
        <v>47</v>
      </c>
      <c r="D32" s="16">
        <v>0</v>
      </c>
      <c r="E32" s="16"/>
      <c r="F32" s="16"/>
      <c r="G32" s="16"/>
      <c r="H32" s="16"/>
      <c r="I32" s="16"/>
      <c r="J32" s="16">
        <v>0</v>
      </c>
      <c r="K32" s="16">
        <f>SUM(D32:J32)</f>
        <v>0</v>
      </c>
      <c r="L32" s="17"/>
      <c r="M32" s="40"/>
      <c r="N32" s="41"/>
      <c r="O32" s="41"/>
      <c r="P32" s="41"/>
      <c r="Q32" s="41"/>
    </row>
    <row r="33" spans="1:17" s="42" customFormat="1" x14ac:dyDescent="0.35">
      <c r="A33" s="13"/>
      <c r="B33" s="18" t="s">
        <v>53</v>
      </c>
      <c r="C33" s="15" t="s">
        <v>47</v>
      </c>
      <c r="D33" s="16"/>
      <c r="E33" s="16">
        <v>3</v>
      </c>
      <c r="F33" s="16"/>
      <c r="G33" s="16"/>
      <c r="H33" s="16"/>
      <c r="I33" s="16"/>
      <c r="J33" s="16"/>
      <c r="K33" s="16"/>
      <c r="L33" s="17"/>
      <c r="M33" s="40"/>
      <c r="N33" s="41"/>
      <c r="O33" s="41"/>
      <c r="P33" s="41"/>
      <c r="Q33" s="41"/>
    </row>
    <row r="34" spans="1:17" s="45" customFormat="1" ht="76.5" customHeight="1" x14ac:dyDescent="0.35">
      <c r="A34" s="13" t="s">
        <v>35</v>
      </c>
      <c r="B34" s="14" t="s">
        <v>54</v>
      </c>
      <c r="C34" s="15" t="s">
        <v>47</v>
      </c>
      <c r="D34" s="22">
        <f>SUM(D35:D38)</f>
        <v>0</v>
      </c>
      <c r="E34" s="22">
        <f t="shared" ref="E34:J34" si="5">SUM(E35:E38)</f>
        <v>3</v>
      </c>
      <c r="F34" s="22">
        <f t="shared" si="5"/>
        <v>0</v>
      </c>
      <c r="G34" s="22">
        <f t="shared" si="5"/>
        <v>0</v>
      </c>
      <c r="H34" s="22">
        <f t="shared" si="5"/>
        <v>0</v>
      </c>
      <c r="I34" s="22">
        <f t="shared" si="5"/>
        <v>0</v>
      </c>
      <c r="J34" s="22">
        <f t="shared" si="5"/>
        <v>0</v>
      </c>
      <c r="K34" s="16">
        <f>SUM(D34:J34)</f>
        <v>3</v>
      </c>
      <c r="L34" s="23"/>
      <c r="M34" s="43"/>
      <c r="N34" s="44"/>
      <c r="O34" s="44"/>
      <c r="P34" s="44"/>
      <c r="Q34" s="44"/>
    </row>
    <row r="35" spans="1:17" s="42" customFormat="1" ht="26" x14ac:dyDescent="0.35">
      <c r="A35" s="13"/>
      <c r="B35" s="18" t="s">
        <v>48</v>
      </c>
      <c r="C35" s="15" t="s">
        <v>47</v>
      </c>
      <c r="D35" s="16">
        <f>+D25-D29</f>
        <v>0</v>
      </c>
      <c r="E35" s="16"/>
      <c r="F35" s="16"/>
      <c r="G35" s="16"/>
      <c r="H35" s="16"/>
      <c r="I35" s="16"/>
      <c r="J35" s="16"/>
      <c r="K35" s="16">
        <f>SUM(D35:J35)</f>
        <v>0</v>
      </c>
      <c r="L35" s="17"/>
      <c r="M35" s="40"/>
      <c r="N35" s="41"/>
      <c r="O35" s="41"/>
      <c r="P35" s="41"/>
      <c r="Q35" s="41"/>
    </row>
    <row r="36" spans="1:17" s="42" customFormat="1" x14ac:dyDescent="0.35">
      <c r="A36" s="13"/>
      <c r="B36" s="18" t="s">
        <v>49</v>
      </c>
      <c r="C36" s="15" t="s">
        <v>47</v>
      </c>
      <c r="D36" s="16">
        <f>+D26-D30</f>
        <v>0</v>
      </c>
      <c r="E36" s="16"/>
      <c r="F36" s="16"/>
      <c r="G36" s="16"/>
      <c r="H36" s="16"/>
      <c r="I36" s="16"/>
      <c r="J36" s="16"/>
      <c r="K36" s="16"/>
      <c r="L36" s="17"/>
      <c r="M36" s="40"/>
      <c r="N36" s="41"/>
      <c r="O36" s="41"/>
      <c r="P36" s="41"/>
      <c r="Q36" s="41"/>
    </row>
    <row r="37" spans="1:17" s="42" customFormat="1" x14ac:dyDescent="0.35">
      <c r="A37" s="13"/>
      <c r="B37" s="18" t="s">
        <v>50</v>
      </c>
      <c r="C37" s="15" t="s">
        <v>47</v>
      </c>
      <c r="D37" s="16">
        <f>+D27-D31</f>
        <v>0</v>
      </c>
      <c r="E37" s="16"/>
      <c r="F37" s="16"/>
      <c r="G37" s="16"/>
      <c r="H37" s="16"/>
      <c r="I37" s="16"/>
      <c r="J37" s="16"/>
      <c r="K37" s="16">
        <f>SUM(D37:J37)</f>
        <v>0</v>
      </c>
      <c r="L37" s="17"/>
      <c r="M37" s="40"/>
      <c r="N37" s="41"/>
      <c r="O37" s="41"/>
      <c r="P37" s="41"/>
      <c r="Q37" s="41"/>
    </row>
    <row r="38" spans="1:17" s="42" customFormat="1" x14ac:dyDescent="0.35">
      <c r="A38" s="13"/>
      <c r="B38" s="18" t="s">
        <v>53</v>
      </c>
      <c r="C38" s="15" t="s">
        <v>47</v>
      </c>
      <c r="D38" s="16">
        <f>+D33</f>
        <v>0</v>
      </c>
      <c r="E38" s="16">
        <v>3</v>
      </c>
      <c r="F38" s="16"/>
      <c r="G38" s="16"/>
      <c r="H38" s="16"/>
      <c r="I38" s="16"/>
      <c r="J38" s="16"/>
      <c r="K38" s="16"/>
      <c r="L38" s="17"/>
      <c r="M38" s="40"/>
      <c r="N38" s="41"/>
      <c r="O38" s="41"/>
      <c r="P38" s="41"/>
      <c r="Q38" s="41"/>
    </row>
    <row r="39" spans="1:17" s="42" customFormat="1" ht="19.5" customHeight="1" x14ac:dyDescent="0.35">
      <c r="A39" s="35" t="s">
        <v>17</v>
      </c>
      <c r="B39" s="36" t="s">
        <v>55</v>
      </c>
      <c r="C39" s="37"/>
      <c r="D39" s="38"/>
      <c r="E39" s="38"/>
      <c r="F39" s="38"/>
      <c r="G39" s="38"/>
      <c r="H39" s="38"/>
      <c r="I39" s="38"/>
      <c r="J39" s="38"/>
      <c r="K39" s="38"/>
      <c r="L39" s="39"/>
      <c r="M39" s="40"/>
      <c r="N39" s="41"/>
      <c r="O39" s="41"/>
      <c r="P39" s="41"/>
      <c r="Q39" s="41"/>
    </row>
    <row r="40" spans="1:17" s="42" customFormat="1" ht="27.75" customHeight="1" x14ac:dyDescent="0.35">
      <c r="A40" s="46" t="s">
        <v>19</v>
      </c>
      <c r="B40" s="36" t="s">
        <v>505</v>
      </c>
      <c r="C40" s="37"/>
      <c r="D40" s="38"/>
      <c r="E40" s="38"/>
      <c r="F40" s="38"/>
      <c r="G40" s="38"/>
      <c r="H40" s="38"/>
      <c r="I40" s="38"/>
      <c r="J40" s="38"/>
      <c r="K40" s="38"/>
      <c r="L40" s="39"/>
      <c r="M40" s="40"/>
      <c r="N40" s="41"/>
      <c r="O40" s="41"/>
      <c r="P40" s="41"/>
      <c r="Q40" s="41"/>
    </row>
    <row r="41" spans="1:17" s="45" customFormat="1" ht="67.5" x14ac:dyDescent="0.35">
      <c r="A41" s="19" t="s">
        <v>21</v>
      </c>
      <c r="B41" s="14" t="s">
        <v>46</v>
      </c>
      <c r="C41" s="21" t="s">
        <v>56</v>
      </c>
      <c r="D41" s="22">
        <f>SUM(D42:D45)</f>
        <v>0</v>
      </c>
      <c r="E41" s="22"/>
      <c r="F41" s="22"/>
      <c r="G41" s="22"/>
      <c r="H41" s="22"/>
      <c r="I41" s="22"/>
      <c r="J41" s="22">
        <f>SUM(J42:J45)</f>
        <v>0</v>
      </c>
      <c r="K41" s="22">
        <f t="shared" ref="K41:K47" si="6">SUM(D41:J41)</f>
        <v>0</v>
      </c>
      <c r="L41" s="23"/>
      <c r="M41" s="43"/>
      <c r="N41" s="44"/>
      <c r="O41" s="44"/>
      <c r="P41" s="44"/>
      <c r="Q41" s="44"/>
    </row>
    <row r="42" spans="1:17" s="42" customFormat="1" ht="26" x14ac:dyDescent="0.35">
      <c r="A42" s="13"/>
      <c r="B42" s="18" t="s">
        <v>57</v>
      </c>
      <c r="C42" s="15"/>
      <c r="D42" s="16"/>
      <c r="E42" s="16"/>
      <c r="F42" s="16"/>
      <c r="G42" s="16"/>
      <c r="H42" s="16"/>
      <c r="I42" s="16"/>
      <c r="J42" s="16"/>
      <c r="K42" s="16">
        <f t="shared" si="6"/>
        <v>0</v>
      </c>
      <c r="L42" s="17"/>
      <c r="M42" s="40"/>
      <c r="N42" s="41"/>
      <c r="O42" s="41"/>
      <c r="P42" s="41"/>
      <c r="Q42" s="41"/>
    </row>
    <row r="43" spans="1:17" s="42" customFormat="1" x14ac:dyDescent="0.35">
      <c r="A43" s="13"/>
      <c r="B43" s="18" t="s">
        <v>58</v>
      </c>
      <c r="C43" s="15"/>
      <c r="D43" s="16"/>
      <c r="E43" s="16">
        <v>2</v>
      </c>
      <c r="F43" s="16"/>
      <c r="G43" s="16"/>
      <c r="H43" s="16"/>
      <c r="I43" s="16"/>
      <c r="J43" s="16"/>
      <c r="K43" s="16">
        <f t="shared" si="6"/>
        <v>2</v>
      </c>
      <c r="L43" s="17"/>
      <c r="M43" s="40"/>
      <c r="N43" s="41"/>
      <c r="O43" s="41"/>
      <c r="P43" s="41"/>
      <c r="Q43" s="41"/>
    </row>
    <row r="44" spans="1:17" s="42" customFormat="1" x14ac:dyDescent="0.35">
      <c r="A44" s="13"/>
      <c r="B44" s="18" t="s">
        <v>59</v>
      </c>
      <c r="C44" s="15"/>
      <c r="D44" s="16"/>
      <c r="E44" s="16">
        <v>3</v>
      </c>
      <c r="F44" s="16"/>
      <c r="G44" s="16"/>
      <c r="H44" s="16"/>
      <c r="I44" s="16"/>
      <c r="J44" s="16"/>
      <c r="K44" s="16">
        <f t="shared" si="6"/>
        <v>3</v>
      </c>
      <c r="L44" s="17"/>
      <c r="M44" s="40"/>
      <c r="N44" s="41"/>
      <c r="O44" s="41"/>
      <c r="P44" s="41"/>
      <c r="Q44" s="41"/>
    </row>
    <row r="45" spans="1:17" s="42" customFormat="1" x14ac:dyDescent="0.35">
      <c r="A45" s="13"/>
      <c r="B45" s="18" t="s">
        <v>60</v>
      </c>
      <c r="C45" s="15"/>
      <c r="D45" s="16"/>
      <c r="E45" s="16">
        <v>4</v>
      </c>
      <c r="F45" s="16"/>
      <c r="G45" s="16"/>
      <c r="H45" s="16"/>
      <c r="I45" s="16"/>
      <c r="J45" s="16"/>
      <c r="K45" s="16">
        <f t="shared" si="6"/>
        <v>4</v>
      </c>
      <c r="L45" s="17"/>
      <c r="M45" s="40"/>
      <c r="N45" s="41"/>
      <c r="O45" s="41"/>
      <c r="P45" s="41"/>
      <c r="Q45" s="41"/>
    </row>
    <row r="46" spans="1:17" s="42" customFormat="1" x14ac:dyDescent="0.35">
      <c r="A46" s="13"/>
      <c r="B46" s="18" t="s">
        <v>61</v>
      </c>
      <c r="C46" s="15"/>
      <c r="D46" s="16"/>
      <c r="E46" s="16">
        <v>6</v>
      </c>
      <c r="F46" s="16"/>
      <c r="G46" s="16"/>
      <c r="H46" s="16"/>
      <c r="I46" s="16"/>
      <c r="J46" s="16"/>
      <c r="K46" s="16">
        <f t="shared" si="6"/>
        <v>6</v>
      </c>
      <c r="L46" s="17"/>
      <c r="M46" s="40"/>
      <c r="N46" s="41"/>
      <c r="O46" s="41"/>
      <c r="P46" s="41"/>
      <c r="Q46" s="41"/>
    </row>
    <row r="47" spans="1:17" s="42" customFormat="1" x14ac:dyDescent="0.35">
      <c r="A47" s="13"/>
      <c r="B47" s="18" t="s">
        <v>62</v>
      </c>
      <c r="C47" s="15"/>
      <c r="D47" s="16"/>
      <c r="E47" s="515">
        <v>2</v>
      </c>
      <c r="F47" s="16"/>
      <c r="G47" s="16"/>
      <c r="H47" s="16"/>
      <c r="I47" s="16"/>
      <c r="J47" s="16"/>
      <c r="K47" s="16">
        <f t="shared" si="6"/>
        <v>2</v>
      </c>
      <c r="L47" s="17"/>
      <c r="M47" s="40"/>
      <c r="N47" s="41"/>
      <c r="O47" s="41"/>
      <c r="P47" s="41"/>
      <c r="Q47" s="41"/>
    </row>
    <row r="48" spans="1:17" s="45" customFormat="1" ht="54" x14ac:dyDescent="0.35">
      <c r="A48" s="19" t="s">
        <v>30</v>
      </c>
      <c r="B48" s="14" t="s">
        <v>51</v>
      </c>
      <c r="C48" s="21" t="s">
        <v>56</v>
      </c>
      <c r="D48" s="22">
        <f>SUM(D49:D54)</f>
        <v>0</v>
      </c>
      <c r="E48" s="22">
        <f t="shared" ref="E48:K48" si="7">SUM(E49:E54)</f>
        <v>2</v>
      </c>
      <c r="F48" s="22">
        <f t="shared" si="7"/>
        <v>0</v>
      </c>
      <c r="G48" s="22">
        <f t="shared" si="7"/>
        <v>0</v>
      </c>
      <c r="H48" s="22">
        <f t="shared" si="7"/>
        <v>0</v>
      </c>
      <c r="I48" s="22">
        <f t="shared" si="7"/>
        <v>0</v>
      </c>
      <c r="J48" s="22">
        <f t="shared" si="7"/>
        <v>0</v>
      </c>
      <c r="K48" s="22">
        <f t="shared" si="7"/>
        <v>2</v>
      </c>
      <c r="L48" s="23"/>
      <c r="M48" s="43"/>
      <c r="N48" s="44"/>
      <c r="O48" s="44"/>
      <c r="P48" s="44"/>
      <c r="Q48" s="44"/>
    </row>
    <row r="49" spans="1:17" s="42" customFormat="1" ht="26" x14ac:dyDescent="0.35">
      <c r="A49" s="13"/>
      <c r="B49" s="18" t="s">
        <v>57</v>
      </c>
      <c r="C49" s="15"/>
      <c r="D49" s="16"/>
      <c r="E49" s="16"/>
      <c r="F49" s="16"/>
      <c r="G49" s="16"/>
      <c r="H49" s="16"/>
      <c r="I49" s="16"/>
      <c r="J49" s="16"/>
      <c r="K49" s="16">
        <f>SUM(D49:J49)</f>
        <v>0</v>
      </c>
      <c r="L49" s="17"/>
      <c r="M49" s="40"/>
      <c r="N49" s="41"/>
      <c r="O49" s="41"/>
      <c r="P49" s="41"/>
      <c r="Q49" s="41"/>
    </row>
    <row r="50" spans="1:17" s="42" customFormat="1" x14ac:dyDescent="0.35">
      <c r="A50" s="13"/>
      <c r="B50" s="18" t="s">
        <v>58</v>
      </c>
      <c r="C50" s="15"/>
      <c r="D50" s="16"/>
      <c r="E50" s="16">
        <v>2</v>
      </c>
      <c r="F50" s="16"/>
      <c r="G50" s="16"/>
      <c r="H50" s="16"/>
      <c r="I50" s="16"/>
      <c r="J50" s="16"/>
      <c r="K50" s="16">
        <f>SUM(D50:J50)</f>
        <v>2</v>
      </c>
      <c r="L50" s="17"/>
      <c r="M50" s="40"/>
      <c r="N50" s="41"/>
      <c r="O50" s="41"/>
      <c r="P50" s="41"/>
      <c r="Q50" s="41"/>
    </row>
    <row r="51" spans="1:17" s="42" customFormat="1" x14ac:dyDescent="0.35">
      <c r="A51" s="13"/>
      <c r="B51" s="18" t="s">
        <v>59</v>
      </c>
      <c r="C51" s="15"/>
      <c r="D51" s="16"/>
      <c r="E51" s="16"/>
      <c r="F51" s="16"/>
      <c r="G51" s="16"/>
      <c r="H51" s="16"/>
      <c r="I51" s="16"/>
      <c r="J51" s="16"/>
      <c r="K51" s="16">
        <f>SUM(D51:J51)</f>
        <v>0</v>
      </c>
      <c r="L51" s="17"/>
      <c r="M51" s="40"/>
      <c r="N51" s="41"/>
      <c r="O51" s="41"/>
      <c r="P51" s="41"/>
      <c r="Q51" s="41"/>
    </row>
    <row r="52" spans="1:17" s="42" customFormat="1" x14ac:dyDescent="0.35">
      <c r="A52" s="13"/>
      <c r="B52" s="18" t="s">
        <v>60</v>
      </c>
      <c r="C52" s="15"/>
      <c r="D52" s="16"/>
      <c r="E52" s="16"/>
      <c r="F52" s="16"/>
      <c r="G52" s="16"/>
      <c r="H52" s="16"/>
      <c r="I52" s="16"/>
      <c r="J52" s="16"/>
      <c r="K52" s="16">
        <f>SUM(D52:J52)</f>
        <v>0</v>
      </c>
      <c r="L52" s="17"/>
      <c r="M52" s="40"/>
      <c r="N52" s="41"/>
      <c r="O52" s="41"/>
      <c r="P52" s="41"/>
      <c r="Q52" s="41"/>
    </row>
    <row r="53" spans="1:17" s="42" customFormat="1" x14ac:dyDescent="0.35">
      <c r="A53" s="13"/>
      <c r="B53" s="18" t="s">
        <v>61</v>
      </c>
      <c r="C53" s="15"/>
      <c r="D53" s="16"/>
      <c r="E53" s="16"/>
      <c r="F53" s="16"/>
      <c r="G53" s="16"/>
      <c r="H53" s="16"/>
      <c r="I53" s="16"/>
      <c r="J53" s="16"/>
      <c r="K53" s="16"/>
      <c r="L53" s="17"/>
      <c r="M53" s="40"/>
      <c r="N53" s="41"/>
      <c r="O53" s="41"/>
      <c r="P53" s="41"/>
      <c r="Q53" s="41"/>
    </row>
    <row r="54" spans="1:17" s="42" customFormat="1" x14ac:dyDescent="0.35">
      <c r="A54" s="13"/>
      <c r="B54" s="18" t="s">
        <v>62</v>
      </c>
      <c r="C54" s="15"/>
      <c r="D54" s="16"/>
      <c r="E54" s="16"/>
      <c r="F54" s="16"/>
      <c r="G54" s="16"/>
      <c r="H54" s="16"/>
      <c r="I54" s="16"/>
      <c r="J54" s="16"/>
      <c r="K54" s="16"/>
      <c r="L54" s="17"/>
      <c r="M54" s="40"/>
      <c r="N54" s="41"/>
      <c r="O54" s="41"/>
      <c r="P54" s="41"/>
      <c r="Q54" s="41"/>
    </row>
    <row r="55" spans="1:17" s="45" customFormat="1" ht="13.5" x14ac:dyDescent="0.35">
      <c r="A55" s="19" t="s">
        <v>32</v>
      </c>
      <c r="B55" s="14" t="s">
        <v>63</v>
      </c>
      <c r="C55" s="15" t="s">
        <v>56</v>
      </c>
      <c r="D55" s="22">
        <f>D41+D48</f>
        <v>0</v>
      </c>
      <c r="E55" s="22"/>
      <c r="F55" s="22"/>
      <c r="G55" s="22"/>
      <c r="H55" s="22"/>
      <c r="I55" s="22"/>
      <c r="J55" s="22">
        <f>J41+J48</f>
        <v>0</v>
      </c>
      <c r="K55" s="16">
        <f>SUM(D55:J55)</f>
        <v>0</v>
      </c>
      <c r="L55" s="23"/>
      <c r="M55" s="43"/>
      <c r="N55" s="44"/>
      <c r="O55" s="44"/>
      <c r="P55" s="44"/>
      <c r="Q55" s="44"/>
    </row>
    <row r="56" spans="1:17" s="42" customFormat="1" x14ac:dyDescent="0.35">
      <c r="A56" s="13"/>
      <c r="B56" s="18" t="s">
        <v>64</v>
      </c>
      <c r="C56" s="15" t="s">
        <v>56</v>
      </c>
      <c r="D56" s="16"/>
      <c r="E56" s="16">
        <v>3</v>
      </c>
      <c r="F56" s="16"/>
      <c r="G56" s="16"/>
      <c r="H56" s="16"/>
      <c r="I56" s="16"/>
      <c r="J56" s="16"/>
      <c r="K56" s="16"/>
      <c r="L56" s="17"/>
      <c r="M56" s="40"/>
      <c r="N56" s="41"/>
      <c r="O56" s="41"/>
      <c r="P56" s="41"/>
      <c r="Q56" s="41"/>
    </row>
    <row r="57" spans="1:17" s="45" customFormat="1" ht="67.5" x14ac:dyDescent="0.35">
      <c r="A57" s="19" t="s">
        <v>35</v>
      </c>
      <c r="B57" s="14" t="s">
        <v>54</v>
      </c>
      <c r="C57" s="21" t="s">
        <v>56</v>
      </c>
      <c r="D57" s="22">
        <f>SUM(D58:D64)</f>
        <v>0</v>
      </c>
      <c r="E57" s="22">
        <f t="shared" ref="E57:J57" si="8">SUM(E58:E64)</f>
        <v>17</v>
      </c>
      <c r="F57" s="22">
        <f t="shared" si="8"/>
        <v>0</v>
      </c>
      <c r="G57" s="22">
        <f t="shared" si="8"/>
        <v>0</v>
      </c>
      <c r="H57" s="22">
        <f t="shared" si="8"/>
        <v>0</v>
      </c>
      <c r="I57" s="22">
        <f t="shared" si="8"/>
        <v>0</v>
      </c>
      <c r="J57" s="22">
        <f t="shared" si="8"/>
        <v>0</v>
      </c>
      <c r="K57" s="22">
        <f>SUM(D57:J57)</f>
        <v>17</v>
      </c>
      <c r="L57" s="23"/>
      <c r="M57" s="43"/>
      <c r="N57" s="44"/>
      <c r="O57" s="44"/>
      <c r="P57" s="44"/>
      <c r="Q57" s="44"/>
    </row>
    <row r="58" spans="1:17" s="42" customFormat="1" ht="26" x14ac:dyDescent="0.35">
      <c r="A58" s="13"/>
      <c r="B58" s="18" t="s">
        <v>57</v>
      </c>
      <c r="C58" s="15"/>
      <c r="D58" s="16"/>
      <c r="E58" s="16"/>
      <c r="F58" s="16"/>
      <c r="G58" s="16"/>
      <c r="H58" s="16"/>
      <c r="I58" s="16"/>
      <c r="J58" s="16"/>
      <c r="K58" s="16">
        <f>SUM(D58:J58)</f>
        <v>0</v>
      </c>
      <c r="L58" s="17"/>
      <c r="M58" s="40"/>
      <c r="N58" s="41"/>
      <c r="O58" s="41"/>
      <c r="P58" s="41"/>
      <c r="Q58" s="41"/>
    </row>
    <row r="59" spans="1:17" s="42" customFormat="1" x14ac:dyDescent="0.35">
      <c r="A59" s="13"/>
      <c r="B59" s="18" t="s">
        <v>58</v>
      </c>
      <c r="C59" s="15"/>
      <c r="D59" s="16"/>
      <c r="E59" s="16"/>
      <c r="F59" s="16"/>
      <c r="G59" s="16"/>
      <c r="H59" s="16"/>
      <c r="I59" s="16"/>
      <c r="J59" s="16"/>
      <c r="K59" s="16">
        <f>SUM(D59:J59)</f>
        <v>0</v>
      </c>
      <c r="L59" s="17"/>
      <c r="M59" s="40"/>
      <c r="N59" s="41"/>
      <c r="O59" s="41"/>
      <c r="P59" s="41"/>
      <c r="Q59" s="41"/>
    </row>
    <row r="60" spans="1:17" s="42" customFormat="1" x14ac:dyDescent="0.35">
      <c r="A60" s="13"/>
      <c r="B60" s="18" t="s">
        <v>59</v>
      </c>
      <c r="C60" s="15"/>
      <c r="D60" s="16"/>
      <c r="E60" s="16">
        <v>3</v>
      </c>
      <c r="F60" s="16"/>
      <c r="G60" s="16"/>
      <c r="H60" s="16"/>
      <c r="I60" s="16"/>
      <c r="J60" s="16"/>
      <c r="K60" s="16">
        <f>SUM(D60:J60)</f>
        <v>3</v>
      </c>
      <c r="L60" s="17"/>
      <c r="M60" s="40"/>
      <c r="N60" s="41"/>
      <c r="O60" s="41"/>
      <c r="P60" s="41"/>
      <c r="Q60" s="41"/>
    </row>
    <row r="61" spans="1:17" s="42" customFormat="1" x14ac:dyDescent="0.35">
      <c r="A61" s="13"/>
      <c r="B61" s="18" t="s">
        <v>60</v>
      </c>
      <c r="C61" s="15"/>
      <c r="D61" s="16"/>
      <c r="E61" s="16">
        <v>4</v>
      </c>
      <c r="F61" s="16"/>
      <c r="G61" s="16"/>
      <c r="H61" s="16"/>
      <c r="I61" s="16"/>
      <c r="J61" s="16"/>
      <c r="K61" s="16">
        <f>SUM(D61:J61)</f>
        <v>4</v>
      </c>
      <c r="L61" s="17"/>
      <c r="M61" s="40"/>
      <c r="N61" s="41"/>
      <c r="O61" s="41"/>
      <c r="P61" s="41"/>
      <c r="Q61" s="41"/>
    </row>
    <row r="62" spans="1:17" s="42" customFormat="1" x14ac:dyDescent="0.35">
      <c r="A62" s="13"/>
      <c r="B62" s="18" t="s">
        <v>61</v>
      </c>
      <c r="C62" s="15"/>
      <c r="D62" s="16"/>
      <c r="E62" s="16">
        <v>6</v>
      </c>
      <c r="F62" s="16"/>
      <c r="G62" s="16"/>
      <c r="H62" s="16"/>
      <c r="I62" s="16"/>
      <c r="J62" s="16"/>
      <c r="K62" s="16"/>
      <c r="L62" s="17"/>
      <c r="M62" s="40"/>
      <c r="N62" s="41"/>
      <c r="O62" s="41"/>
      <c r="P62" s="41"/>
      <c r="Q62" s="41"/>
    </row>
    <row r="63" spans="1:17" s="42" customFormat="1" x14ac:dyDescent="0.35">
      <c r="A63" s="13"/>
      <c r="B63" s="18" t="s">
        <v>62</v>
      </c>
      <c r="C63" s="15"/>
      <c r="D63" s="16"/>
      <c r="E63" s="16">
        <v>2</v>
      </c>
      <c r="F63" s="16"/>
      <c r="G63" s="16"/>
      <c r="H63" s="16"/>
      <c r="I63" s="16"/>
      <c r="J63" s="16"/>
      <c r="K63" s="16"/>
      <c r="L63" s="17"/>
      <c r="M63" s="40"/>
      <c r="N63" s="41"/>
      <c r="O63" s="41"/>
      <c r="P63" s="41"/>
      <c r="Q63" s="41"/>
    </row>
    <row r="64" spans="1:17" s="42" customFormat="1" x14ac:dyDescent="0.35">
      <c r="A64" s="13"/>
      <c r="B64" s="18" t="s">
        <v>64</v>
      </c>
      <c r="C64" s="15" t="s">
        <v>56</v>
      </c>
      <c r="D64" s="16"/>
      <c r="E64" s="16">
        <v>2</v>
      </c>
      <c r="F64" s="16"/>
      <c r="G64" s="16"/>
      <c r="H64" s="16"/>
      <c r="I64" s="16"/>
      <c r="J64" s="16"/>
      <c r="K64" s="16"/>
      <c r="L64" s="17"/>
      <c r="M64" s="40"/>
      <c r="N64" s="41"/>
      <c r="O64" s="41"/>
      <c r="P64" s="41"/>
      <c r="Q64" s="41"/>
    </row>
    <row r="65" spans="1:17" s="42" customFormat="1" ht="27.75" customHeight="1" x14ac:dyDescent="0.35">
      <c r="A65" s="46" t="s">
        <v>41</v>
      </c>
      <c r="B65" s="36" t="s">
        <v>506</v>
      </c>
      <c r="C65" s="37"/>
      <c r="D65" s="38"/>
      <c r="E65" s="38"/>
      <c r="F65" s="38"/>
      <c r="G65" s="38"/>
      <c r="H65" s="38"/>
      <c r="I65" s="38"/>
      <c r="J65" s="38"/>
      <c r="K65" s="38"/>
      <c r="L65" s="39"/>
      <c r="M65" s="40"/>
      <c r="N65" s="41"/>
      <c r="O65" s="41"/>
      <c r="P65" s="41"/>
      <c r="Q65" s="41"/>
    </row>
    <row r="66" spans="1:17" s="45" customFormat="1" ht="67.5" x14ac:dyDescent="0.35">
      <c r="A66" s="19" t="s">
        <v>21</v>
      </c>
      <c r="B66" s="14" t="s">
        <v>46</v>
      </c>
      <c r="C66" s="21" t="s">
        <v>56</v>
      </c>
      <c r="D66" s="22">
        <f>SUM(D67:D70)</f>
        <v>0</v>
      </c>
      <c r="E66" s="22"/>
      <c r="F66" s="22"/>
      <c r="G66" s="22"/>
      <c r="H66" s="22"/>
      <c r="I66" s="22"/>
      <c r="J66" s="22">
        <f>SUM(J67:J70)</f>
        <v>0</v>
      </c>
      <c r="K66" s="22">
        <f>SUM(D66:J66)</f>
        <v>0</v>
      </c>
      <c r="L66" s="23"/>
      <c r="M66" s="43"/>
      <c r="N66" s="44"/>
      <c r="O66" s="44"/>
      <c r="P66" s="44"/>
      <c r="Q66" s="44"/>
    </row>
    <row r="67" spans="1:17" s="42" customFormat="1" ht="26" x14ac:dyDescent="0.35">
      <c r="A67" s="13"/>
      <c r="B67" s="18" t="s">
        <v>57</v>
      </c>
      <c r="C67" s="15"/>
      <c r="D67" s="16"/>
      <c r="E67" s="16"/>
      <c r="F67" s="16"/>
      <c r="G67" s="16"/>
      <c r="H67" s="16"/>
      <c r="I67" s="16"/>
      <c r="J67" s="16"/>
      <c r="K67" s="16">
        <f>SUM(D67:J67)</f>
        <v>0</v>
      </c>
      <c r="L67" s="17"/>
      <c r="M67" s="40"/>
      <c r="N67" s="41"/>
      <c r="O67" s="41"/>
      <c r="P67" s="41"/>
      <c r="Q67" s="41"/>
    </row>
    <row r="68" spans="1:17" s="42" customFormat="1" x14ac:dyDescent="0.35">
      <c r="A68" s="13"/>
      <c r="B68" s="18" t="s">
        <v>58</v>
      </c>
      <c r="C68" s="15"/>
      <c r="D68" s="16"/>
      <c r="E68" s="16"/>
      <c r="F68" s="16"/>
      <c r="G68" s="16"/>
      <c r="H68" s="16"/>
      <c r="I68" s="16"/>
      <c r="J68" s="16"/>
      <c r="K68" s="16">
        <f>SUM(D68:J68)</f>
        <v>0</v>
      </c>
      <c r="L68" s="17"/>
      <c r="M68" s="40"/>
      <c r="N68" s="41"/>
      <c r="O68" s="41"/>
      <c r="P68" s="41"/>
      <c r="Q68" s="41"/>
    </row>
    <row r="69" spans="1:17" s="42" customFormat="1" x14ac:dyDescent="0.35">
      <c r="A69" s="13"/>
      <c r="B69" s="18" t="s">
        <v>59</v>
      </c>
      <c r="C69" s="15"/>
      <c r="D69" s="16"/>
      <c r="E69" s="16"/>
      <c r="F69" s="16"/>
      <c r="G69" s="16"/>
      <c r="H69" s="16"/>
      <c r="I69" s="16"/>
      <c r="J69" s="16"/>
      <c r="K69" s="16">
        <f>SUM(D69:J69)</f>
        <v>0</v>
      </c>
      <c r="L69" s="17"/>
      <c r="M69" s="40"/>
      <c r="N69" s="41"/>
      <c r="O69" s="41"/>
      <c r="P69" s="41"/>
      <c r="Q69" s="41"/>
    </row>
    <row r="70" spans="1:17" s="42" customFormat="1" x14ac:dyDescent="0.35">
      <c r="A70" s="13"/>
      <c r="B70" s="18" t="s">
        <v>60</v>
      </c>
      <c r="C70" s="15"/>
      <c r="D70" s="16"/>
      <c r="E70" s="16"/>
      <c r="F70" s="16"/>
      <c r="G70" s="16"/>
      <c r="H70" s="16"/>
      <c r="I70" s="16"/>
      <c r="J70" s="16"/>
      <c r="K70" s="16">
        <f>SUM(D70:J70)</f>
        <v>0</v>
      </c>
      <c r="L70" s="17"/>
      <c r="M70" s="40"/>
      <c r="N70" s="41"/>
      <c r="O70" s="41"/>
      <c r="P70" s="41"/>
      <c r="Q70" s="41"/>
    </row>
    <row r="71" spans="1:17" s="42" customFormat="1" x14ac:dyDescent="0.35">
      <c r="A71" s="13"/>
      <c r="B71" s="18" t="s">
        <v>61</v>
      </c>
      <c r="C71" s="15"/>
      <c r="D71" s="16"/>
      <c r="E71" s="16"/>
      <c r="F71" s="16"/>
      <c r="G71" s="16"/>
      <c r="H71" s="16"/>
      <c r="I71" s="16"/>
      <c r="J71" s="16"/>
      <c r="K71" s="16"/>
      <c r="L71" s="17"/>
      <c r="M71" s="40"/>
      <c r="N71" s="41"/>
      <c r="O71" s="41"/>
      <c r="P71" s="41"/>
      <c r="Q71" s="41"/>
    </row>
    <row r="72" spans="1:17" s="42" customFormat="1" x14ac:dyDescent="0.35">
      <c r="A72" s="13"/>
      <c r="B72" s="18" t="s">
        <v>62</v>
      </c>
      <c r="C72" s="15"/>
      <c r="D72" s="16"/>
      <c r="E72" s="16"/>
      <c r="F72" s="16"/>
      <c r="G72" s="16"/>
      <c r="H72" s="16"/>
      <c r="I72" s="16"/>
      <c r="J72" s="16"/>
      <c r="K72" s="16"/>
      <c r="L72" s="17"/>
      <c r="M72" s="40"/>
      <c r="N72" s="41"/>
      <c r="O72" s="41"/>
      <c r="P72" s="41"/>
      <c r="Q72" s="41"/>
    </row>
    <row r="73" spans="1:17" s="45" customFormat="1" ht="54" x14ac:dyDescent="0.35">
      <c r="A73" s="19" t="s">
        <v>30</v>
      </c>
      <c r="B73" s="14" t="s">
        <v>51</v>
      </c>
      <c r="C73" s="21" t="s">
        <v>56</v>
      </c>
      <c r="D73" s="22">
        <f>SUM(D74:D79)</f>
        <v>0</v>
      </c>
      <c r="E73" s="22">
        <f t="shared" ref="E73:K73" si="9">SUM(E74:E79)</f>
        <v>0</v>
      </c>
      <c r="F73" s="22">
        <f t="shared" si="9"/>
        <v>0</v>
      </c>
      <c r="G73" s="22">
        <f t="shared" si="9"/>
        <v>0</v>
      </c>
      <c r="H73" s="22">
        <f t="shared" si="9"/>
        <v>0</v>
      </c>
      <c r="I73" s="22">
        <f t="shared" si="9"/>
        <v>0</v>
      </c>
      <c r="J73" s="22">
        <f t="shared" si="9"/>
        <v>0</v>
      </c>
      <c r="K73" s="22">
        <f t="shared" si="9"/>
        <v>0</v>
      </c>
      <c r="L73" s="23"/>
      <c r="M73" s="43"/>
      <c r="N73" s="44"/>
      <c r="O73" s="44"/>
      <c r="P73" s="44"/>
      <c r="Q73" s="44"/>
    </row>
    <row r="74" spans="1:17" s="42" customFormat="1" ht="26" x14ac:dyDescent="0.35">
      <c r="A74" s="13"/>
      <c r="B74" s="18" t="s">
        <v>57</v>
      </c>
      <c r="C74" s="15"/>
      <c r="D74" s="16"/>
      <c r="E74" s="16"/>
      <c r="F74" s="16"/>
      <c r="G74" s="16"/>
      <c r="H74" s="16"/>
      <c r="I74" s="16"/>
      <c r="J74" s="16"/>
      <c r="K74" s="16">
        <f>SUM(D74:J74)</f>
        <v>0</v>
      </c>
      <c r="L74" s="17"/>
      <c r="M74" s="40"/>
      <c r="N74" s="41"/>
      <c r="O74" s="41"/>
      <c r="P74" s="41"/>
      <c r="Q74" s="41"/>
    </row>
    <row r="75" spans="1:17" s="42" customFormat="1" x14ac:dyDescent="0.35">
      <c r="A75" s="13"/>
      <c r="B75" s="18" t="s">
        <v>58</v>
      </c>
      <c r="C75" s="15"/>
      <c r="D75" s="16"/>
      <c r="E75" s="16"/>
      <c r="F75" s="16"/>
      <c r="G75" s="16"/>
      <c r="H75" s="16"/>
      <c r="I75" s="16"/>
      <c r="J75" s="16"/>
      <c r="K75" s="16">
        <f>SUM(D75:J75)</f>
        <v>0</v>
      </c>
      <c r="L75" s="17"/>
      <c r="M75" s="40"/>
      <c r="N75" s="41"/>
      <c r="O75" s="41"/>
      <c r="P75" s="41"/>
      <c r="Q75" s="41"/>
    </row>
    <row r="76" spans="1:17" s="42" customFormat="1" x14ac:dyDescent="0.35">
      <c r="A76" s="13"/>
      <c r="B76" s="18" t="s">
        <v>59</v>
      </c>
      <c r="C76" s="15"/>
      <c r="D76" s="16"/>
      <c r="E76" s="16"/>
      <c r="F76" s="16"/>
      <c r="G76" s="16"/>
      <c r="H76" s="16"/>
      <c r="I76" s="16"/>
      <c r="J76" s="16"/>
      <c r="K76" s="16">
        <f>SUM(D76:J76)</f>
        <v>0</v>
      </c>
      <c r="L76" s="17"/>
      <c r="M76" s="40"/>
      <c r="N76" s="41"/>
      <c r="O76" s="41"/>
      <c r="P76" s="41"/>
      <c r="Q76" s="41"/>
    </row>
    <row r="77" spans="1:17" s="42" customFormat="1" x14ac:dyDescent="0.35">
      <c r="A77" s="13"/>
      <c r="B77" s="18" t="s">
        <v>60</v>
      </c>
      <c r="C77" s="15"/>
      <c r="D77" s="16"/>
      <c r="E77" s="16"/>
      <c r="F77" s="16"/>
      <c r="G77" s="16"/>
      <c r="H77" s="16"/>
      <c r="I77" s="16"/>
      <c r="J77" s="16"/>
      <c r="K77" s="16">
        <f>SUM(D77:J77)</f>
        <v>0</v>
      </c>
      <c r="L77" s="17"/>
      <c r="M77" s="40"/>
      <c r="N77" s="41"/>
      <c r="O77" s="41"/>
      <c r="P77" s="41"/>
      <c r="Q77" s="41"/>
    </row>
    <row r="78" spans="1:17" s="42" customFormat="1" x14ac:dyDescent="0.35">
      <c r="A78" s="13"/>
      <c r="B78" s="18" t="s">
        <v>61</v>
      </c>
      <c r="C78" s="15"/>
      <c r="D78" s="16"/>
      <c r="E78" s="16"/>
      <c r="F78" s="16"/>
      <c r="G78" s="16"/>
      <c r="H78" s="16"/>
      <c r="I78" s="16"/>
      <c r="J78" s="16"/>
      <c r="K78" s="16"/>
      <c r="L78" s="17"/>
      <c r="M78" s="40"/>
      <c r="N78" s="41"/>
      <c r="O78" s="41"/>
      <c r="P78" s="41"/>
      <c r="Q78" s="41"/>
    </row>
    <row r="79" spans="1:17" s="42" customFormat="1" x14ac:dyDescent="0.35">
      <c r="A79" s="13"/>
      <c r="B79" s="18" t="s">
        <v>62</v>
      </c>
      <c r="C79" s="15"/>
      <c r="D79" s="16"/>
      <c r="E79" s="16"/>
      <c r="F79" s="16"/>
      <c r="G79" s="16"/>
      <c r="H79" s="16"/>
      <c r="I79" s="16"/>
      <c r="J79" s="16"/>
      <c r="K79" s="16"/>
      <c r="L79" s="17"/>
      <c r="M79" s="40"/>
      <c r="N79" s="41"/>
      <c r="O79" s="41"/>
      <c r="P79" s="41"/>
      <c r="Q79" s="41"/>
    </row>
    <row r="80" spans="1:17" s="45" customFormat="1" ht="13.5" x14ac:dyDescent="0.35">
      <c r="A80" s="19" t="s">
        <v>32</v>
      </c>
      <c r="B80" s="14" t="s">
        <v>63</v>
      </c>
      <c r="C80" s="15" t="s">
        <v>56</v>
      </c>
      <c r="D80" s="22">
        <f>D66+D73</f>
        <v>0</v>
      </c>
      <c r="E80" s="22"/>
      <c r="F80" s="22"/>
      <c r="G80" s="22"/>
      <c r="H80" s="22"/>
      <c r="I80" s="22"/>
      <c r="J80" s="22">
        <f>J66+J73</f>
        <v>0</v>
      </c>
      <c r="K80" s="16">
        <f>SUM(D80:J80)</f>
        <v>0</v>
      </c>
      <c r="L80" s="23"/>
      <c r="M80" s="43"/>
      <c r="N80" s="44"/>
      <c r="O80" s="44"/>
      <c r="P80" s="44"/>
      <c r="Q80" s="44"/>
    </row>
    <row r="81" spans="1:17" s="42" customFormat="1" x14ac:dyDescent="0.35">
      <c r="A81" s="13"/>
      <c r="B81" s="18" t="s">
        <v>64</v>
      </c>
      <c r="C81" s="15" t="s">
        <v>56</v>
      </c>
      <c r="D81" s="16"/>
      <c r="E81" s="16"/>
      <c r="F81" s="16"/>
      <c r="G81" s="16"/>
      <c r="H81" s="16"/>
      <c r="I81" s="16"/>
      <c r="J81" s="16"/>
      <c r="K81" s="16"/>
      <c r="L81" s="17"/>
      <c r="M81" s="40"/>
      <c r="N81" s="41"/>
      <c r="O81" s="41"/>
      <c r="P81" s="41"/>
      <c r="Q81" s="41"/>
    </row>
    <row r="82" spans="1:17" s="45" customFormat="1" ht="67.5" x14ac:dyDescent="0.35">
      <c r="A82" s="19" t="s">
        <v>35</v>
      </c>
      <c r="B82" s="14" t="s">
        <v>54</v>
      </c>
      <c r="C82" s="21" t="s">
        <v>56</v>
      </c>
      <c r="D82" s="22">
        <f>SUM(D83:D89)</f>
        <v>0</v>
      </c>
      <c r="E82" s="22">
        <f t="shared" ref="E82:J82" si="10">SUM(E83:E89)</f>
        <v>0</v>
      </c>
      <c r="F82" s="22">
        <f t="shared" si="10"/>
        <v>0</v>
      </c>
      <c r="G82" s="22">
        <f t="shared" si="10"/>
        <v>0</v>
      </c>
      <c r="H82" s="22">
        <f t="shared" si="10"/>
        <v>0</v>
      </c>
      <c r="I82" s="22">
        <f t="shared" si="10"/>
        <v>0</v>
      </c>
      <c r="J82" s="22">
        <f t="shared" si="10"/>
        <v>0</v>
      </c>
      <c r="K82" s="22">
        <f>SUM(D82:J82)</f>
        <v>0</v>
      </c>
      <c r="L82" s="23"/>
      <c r="M82" s="43"/>
      <c r="N82" s="44"/>
      <c r="O82" s="44"/>
      <c r="P82" s="44"/>
      <c r="Q82" s="44"/>
    </row>
    <row r="83" spans="1:17" s="42" customFormat="1" ht="26" x14ac:dyDescent="0.35">
      <c r="A83" s="13"/>
      <c r="B83" s="18" t="s">
        <v>57</v>
      </c>
      <c r="C83" s="15"/>
      <c r="D83" s="16"/>
      <c r="E83" s="16"/>
      <c r="F83" s="16"/>
      <c r="G83" s="16"/>
      <c r="H83" s="16"/>
      <c r="I83" s="16"/>
      <c r="J83" s="16"/>
      <c r="K83" s="16">
        <f>SUM(D83:J83)</f>
        <v>0</v>
      </c>
      <c r="L83" s="17"/>
      <c r="M83" s="40"/>
      <c r="N83" s="41"/>
      <c r="O83" s="41"/>
      <c r="P83" s="41"/>
      <c r="Q83" s="41"/>
    </row>
    <row r="84" spans="1:17" s="42" customFormat="1" x14ac:dyDescent="0.35">
      <c r="A84" s="13"/>
      <c r="B84" s="18" t="s">
        <v>58</v>
      </c>
      <c r="C84" s="15"/>
      <c r="D84" s="16"/>
      <c r="E84" s="16"/>
      <c r="F84" s="16"/>
      <c r="G84" s="16"/>
      <c r="H84" s="16"/>
      <c r="I84" s="16"/>
      <c r="J84" s="16"/>
      <c r="K84" s="16">
        <f>SUM(D84:J84)</f>
        <v>0</v>
      </c>
      <c r="L84" s="17"/>
      <c r="M84" s="40"/>
      <c r="N84" s="41"/>
      <c r="O84" s="41"/>
      <c r="P84" s="41"/>
      <c r="Q84" s="41"/>
    </row>
    <row r="85" spans="1:17" s="42" customFormat="1" x14ac:dyDescent="0.35">
      <c r="A85" s="13"/>
      <c r="B85" s="18" t="s">
        <v>59</v>
      </c>
      <c r="C85" s="15"/>
      <c r="D85" s="16"/>
      <c r="E85" s="16"/>
      <c r="F85" s="16"/>
      <c r="G85" s="16"/>
      <c r="H85" s="16"/>
      <c r="I85" s="16"/>
      <c r="J85" s="16"/>
      <c r="K85" s="16">
        <f>SUM(D85:J85)</f>
        <v>0</v>
      </c>
      <c r="L85" s="17"/>
      <c r="M85" s="40"/>
      <c r="N85" s="41"/>
      <c r="O85" s="41"/>
      <c r="P85" s="41"/>
      <c r="Q85" s="41"/>
    </row>
    <row r="86" spans="1:17" s="42" customFormat="1" x14ac:dyDescent="0.35">
      <c r="A86" s="13"/>
      <c r="B86" s="18" t="s">
        <v>60</v>
      </c>
      <c r="C86" s="15"/>
      <c r="D86" s="16"/>
      <c r="E86" s="16"/>
      <c r="F86" s="16"/>
      <c r="G86" s="16"/>
      <c r="H86" s="16"/>
      <c r="I86" s="16"/>
      <c r="J86" s="16"/>
      <c r="K86" s="16">
        <f>SUM(D86:J86)</f>
        <v>0</v>
      </c>
      <c r="L86" s="17"/>
      <c r="M86" s="40"/>
      <c r="N86" s="41"/>
      <c r="O86" s="41"/>
      <c r="P86" s="41"/>
      <c r="Q86" s="41"/>
    </row>
    <row r="87" spans="1:17" s="42" customFormat="1" x14ac:dyDescent="0.35">
      <c r="A87" s="13"/>
      <c r="B87" s="18" t="s">
        <v>61</v>
      </c>
      <c r="C87" s="15"/>
      <c r="D87" s="16"/>
      <c r="E87" s="16"/>
      <c r="F87" s="16"/>
      <c r="G87" s="16"/>
      <c r="H87" s="16"/>
      <c r="I87" s="16"/>
      <c r="J87" s="16"/>
      <c r="K87" s="16"/>
      <c r="L87" s="17"/>
      <c r="M87" s="40"/>
      <c r="N87" s="41"/>
      <c r="O87" s="41"/>
      <c r="P87" s="41"/>
      <c r="Q87" s="41"/>
    </row>
    <row r="88" spans="1:17" s="42" customFormat="1" x14ac:dyDescent="0.35">
      <c r="A88" s="13"/>
      <c r="B88" s="18" t="s">
        <v>62</v>
      </c>
      <c r="C88" s="15"/>
      <c r="D88" s="16"/>
      <c r="E88" s="16"/>
      <c r="F88" s="16"/>
      <c r="G88" s="16"/>
      <c r="H88" s="16"/>
      <c r="I88" s="16"/>
      <c r="J88" s="16"/>
      <c r="K88" s="16"/>
      <c r="L88" s="17"/>
      <c r="M88" s="40"/>
      <c r="N88" s="41"/>
      <c r="O88" s="41"/>
      <c r="P88" s="41"/>
      <c r="Q88" s="41"/>
    </row>
    <row r="89" spans="1:17" s="42" customFormat="1" ht="15" thickBot="1" x14ac:dyDescent="0.4">
      <c r="A89" s="13"/>
      <c r="B89" s="18" t="s">
        <v>64</v>
      </c>
      <c r="C89" s="15" t="s">
        <v>56</v>
      </c>
      <c r="D89" s="16"/>
      <c r="E89" s="16"/>
      <c r="F89" s="16"/>
      <c r="G89" s="16"/>
      <c r="H89" s="16"/>
      <c r="I89" s="16"/>
      <c r="J89" s="16"/>
      <c r="K89" s="16"/>
      <c r="L89" s="17"/>
      <c r="M89" s="40"/>
      <c r="N89" s="41"/>
      <c r="O89" s="41"/>
      <c r="P89" s="41"/>
      <c r="Q89" s="41"/>
    </row>
    <row r="90" spans="1:17" ht="15" thickTop="1" x14ac:dyDescent="0.35">
      <c r="A90" s="29"/>
      <c r="B90" s="1"/>
      <c r="C90" s="1"/>
      <c r="D90" s="1"/>
      <c r="E90" s="1"/>
      <c r="F90" s="1"/>
      <c r="G90" s="1"/>
      <c r="H90" s="1"/>
      <c r="I90" s="1"/>
      <c r="J90" s="826"/>
      <c r="K90" s="826"/>
      <c r="L90" s="826"/>
      <c r="M90" s="1"/>
      <c r="N90" s="34"/>
      <c r="O90" s="34"/>
      <c r="P90" s="34"/>
      <c r="Q90" s="34"/>
    </row>
    <row r="91" spans="1:17" ht="12.75" customHeight="1" x14ac:dyDescent="0.35">
      <c r="A91" s="30"/>
      <c r="B91" s="31"/>
      <c r="C91" s="32"/>
      <c r="D91" s="32"/>
      <c r="E91" s="32"/>
      <c r="F91" s="32"/>
      <c r="G91" s="32"/>
      <c r="H91" s="32"/>
      <c r="I91" s="32"/>
      <c r="J91" s="827" t="s">
        <v>42</v>
      </c>
      <c r="K91" s="827"/>
      <c r="L91" s="827"/>
      <c r="M91" s="1"/>
      <c r="N91" s="34"/>
      <c r="O91" s="34"/>
      <c r="P91" s="34"/>
      <c r="Q91" s="34"/>
    </row>
    <row r="92" spans="1:17" ht="20.25" customHeight="1" x14ac:dyDescent="0.35">
      <c r="A92" s="820"/>
      <c r="B92" s="821"/>
      <c r="C92" s="821"/>
      <c r="D92" s="33"/>
      <c r="E92" s="33"/>
      <c r="F92" s="33"/>
      <c r="G92" s="33"/>
      <c r="H92" s="33"/>
      <c r="I92" s="33"/>
      <c r="J92" s="814" t="s">
        <v>43</v>
      </c>
      <c r="K92" s="814"/>
      <c r="L92" s="814"/>
      <c r="M92" s="1"/>
      <c r="N92" s="34"/>
      <c r="O92" s="34"/>
      <c r="P92" s="34"/>
      <c r="Q92" s="34"/>
    </row>
    <row r="93" spans="1:17" ht="12.75" customHeight="1" x14ac:dyDescent="0.35">
      <c r="A93" s="47"/>
      <c r="B93" s="47"/>
      <c r="C93" s="47"/>
      <c r="D93" s="47"/>
      <c r="E93" s="47"/>
      <c r="F93" s="47"/>
      <c r="G93" s="47"/>
      <c r="H93" s="47"/>
      <c r="I93" s="47"/>
      <c r="J93" s="47"/>
      <c r="K93" s="47"/>
      <c r="L93" s="47"/>
      <c r="M93" s="1"/>
      <c r="N93" s="34"/>
      <c r="O93" s="34"/>
      <c r="P93" s="34"/>
      <c r="Q93" s="34"/>
    </row>
    <row r="94" spans="1:17" ht="12.75" customHeight="1" x14ac:dyDescent="0.35">
      <c r="A94" s="47"/>
      <c r="B94" s="47"/>
      <c r="C94" s="47"/>
      <c r="D94" s="47"/>
      <c r="E94" s="47"/>
      <c r="F94" s="47"/>
      <c r="G94" s="47"/>
      <c r="H94" s="47"/>
      <c r="I94" s="47"/>
      <c r="J94" s="47"/>
      <c r="K94" s="47"/>
      <c r="L94" s="47"/>
      <c r="M94" s="1"/>
      <c r="N94" s="34"/>
      <c r="O94" s="34"/>
      <c r="P94" s="34"/>
      <c r="Q94" s="34"/>
    </row>
    <row r="95" spans="1:17" ht="12.75" customHeight="1" x14ac:dyDescent="0.35">
      <c r="A95" s="47"/>
      <c r="B95" s="47"/>
      <c r="C95" s="47"/>
      <c r="D95" s="47"/>
      <c r="E95" s="47"/>
      <c r="F95" s="47"/>
      <c r="G95" s="47"/>
      <c r="H95" s="47"/>
      <c r="I95" s="47"/>
      <c r="J95" s="47"/>
      <c r="K95" s="47"/>
      <c r="L95" s="47"/>
      <c r="M95" s="1"/>
      <c r="N95" s="34"/>
      <c r="O95" s="34"/>
      <c r="P95" s="34"/>
      <c r="Q95" s="34"/>
    </row>
    <row r="96" spans="1:17" ht="12.75" customHeight="1" x14ac:dyDescent="0.35">
      <c r="A96" s="47"/>
      <c r="B96" s="47"/>
      <c r="C96" s="47"/>
      <c r="D96" s="47"/>
      <c r="E96" s="47"/>
      <c r="F96" s="47"/>
      <c r="G96" s="47"/>
      <c r="H96" s="47"/>
      <c r="I96" s="47"/>
      <c r="J96" s="47"/>
      <c r="K96" s="47"/>
      <c r="L96" s="47"/>
      <c r="M96" s="1"/>
      <c r="N96" s="34"/>
      <c r="O96" s="34"/>
      <c r="P96" s="34"/>
      <c r="Q96" s="34"/>
    </row>
    <row r="97" spans="1:17" s="52" customFormat="1" ht="49.5" customHeight="1" x14ac:dyDescent="0.3">
      <c r="A97" s="48" t="s">
        <v>65</v>
      </c>
      <c r="B97" s="49"/>
      <c r="C97" s="49"/>
      <c r="D97" s="49"/>
      <c r="E97" s="49"/>
      <c r="F97" s="49"/>
      <c r="G97" s="49"/>
      <c r="H97" s="49"/>
      <c r="I97" s="49"/>
      <c r="J97" s="49"/>
      <c r="K97" s="49"/>
      <c r="L97" s="49"/>
      <c r="M97" s="50"/>
      <c r="N97" s="51"/>
      <c r="O97" s="51"/>
      <c r="P97" s="51"/>
      <c r="Q97" s="51"/>
    </row>
    <row r="98" spans="1:17" ht="34.5" customHeight="1" x14ac:dyDescent="0.35">
      <c r="A98" s="822"/>
      <c r="B98" s="822"/>
      <c r="C98" s="822"/>
      <c r="D98" s="822"/>
      <c r="E98" s="822"/>
      <c r="F98" s="822"/>
      <c r="G98" s="822"/>
      <c r="H98" s="822"/>
      <c r="I98" s="822"/>
      <c r="J98" s="822"/>
      <c r="K98" s="822"/>
      <c r="L98" s="822"/>
      <c r="M98" s="1"/>
      <c r="N98" s="34"/>
      <c r="O98" s="34"/>
      <c r="P98" s="34"/>
      <c r="Q98" s="34"/>
    </row>
    <row r="99" spans="1:17" ht="33.75" customHeight="1" x14ac:dyDescent="0.35">
      <c r="A99" s="822"/>
      <c r="B99" s="822"/>
      <c r="C99" s="822"/>
      <c r="D99" s="822"/>
      <c r="E99" s="822"/>
      <c r="F99" s="822"/>
      <c r="G99" s="822"/>
      <c r="H99" s="822"/>
      <c r="I99" s="822"/>
      <c r="J99" s="822"/>
      <c r="K99" s="822"/>
      <c r="L99" s="822"/>
      <c r="M99" s="1"/>
      <c r="N99" s="34"/>
      <c r="O99" s="34"/>
      <c r="P99" s="34"/>
      <c r="Q99" s="34"/>
    </row>
    <row r="100" spans="1:17" x14ac:dyDescent="0.35">
      <c r="A100" s="30"/>
      <c r="B100" s="32"/>
      <c r="C100" s="32"/>
      <c r="D100" s="32"/>
      <c r="E100" s="32"/>
      <c r="F100" s="32"/>
      <c r="G100" s="32"/>
      <c r="H100" s="32"/>
      <c r="I100" s="32"/>
      <c r="J100" s="32"/>
      <c r="K100" s="53"/>
      <c r="L100" s="53"/>
      <c r="M100" s="1"/>
      <c r="N100" s="34"/>
      <c r="O100" s="34"/>
      <c r="P100" s="34"/>
      <c r="Q100" s="34"/>
    </row>
    <row r="101" spans="1:17" x14ac:dyDescent="0.35">
      <c r="A101" s="29"/>
      <c r="B101" s="1"/>
      <c r="C101" s="1"/>
      <c r="D101" s="1"/>
      <c r="E101" s="1"/>
      <c r="F101" s="1"/>
      <c r="G101" s="1"/>
      <c r="H101" s="1"/>
      <c r="I101" s="1"/>
      <c r="J101" s="1"/>
      <c r="K101" s="2"/>
      <c r="L101" s="2"/>
      <c r="M101" s="1"/>
      <c r="N101" s="34"/>
      <c r="O101" s="34"/>
      <c r="P101" s="34"/>
      <c r="Q101" s="34"/>
    </row>
    <row r="102" spans="1:17" x14ac:dyDescent="0.35">
      <c r="A102" s="29"/>
      <c r="B102" s="1"/>
      <c r="C102" s="1"/>
      <c r="D102" s="1"/>
      <c r="E102" s="1"/>
      <c r="F102" s="1"/>
      <c r="G102" s="1"/>
      <c r="H102" s="1"/>
      <c r="I102" s="1"/>
      <c r="J102" s="1"/>
      <c r="K102" s="2"/>
      <c r="L102" s="2"/>
      <c r="M102" s="1"/>
      <c r="N102" s="34"/>
      <c r="O102" s="34"/>
      <c r="P102" s="34"/>
      <c r="Q102" s="34"/>
    </row>
    <row r="103" spans="1:17" x14ac:dyDescent="0.35">
      <c r="A103" s="29"/>
      <c r="B103" s="1"/>
      <c r="C103" s="1"/>
      <c r="D103" s="1"/>
      <c r="E103" s="1"/>
      <c r="F103" s="1"/>
      <c r="G103" s="1"/>
      <c r="H103" s="1"/>
      <c r="I103" s="1"/>
      <c r="J103" s="1"/>
      <c r="K103" s="2"/>
      <c r="L103" s="2"/>
      <c r="M103" s="1"/>
      <c r="N103" s="34"/>
      <c r="O103" s="34"/>
      <c r="P103" s="34"/>
      <c r="Q103" s="34"/>
    </row>
    <row r="104" spans="1:17" x14ac:dyDescent="0.35">
      <c r="A104" s="29"/>
      <c r="B104" s="1"/>
      <c r="C104" s="1"/>
      <c r="D104" s="1"/>
      <c r="E104" s="1"/>
      <c r="F104" s="1"/>
      <c r="G104" s="1"/>
      <c r="H104" s="1"/>
      <c r="I104" s="1"/>
      <c r="J104" s="1"/>
      <c r="K104" s="2"/>
      <c r="L104" s="2"/>
      <c r="M104" s="1"/>
      <c r="N104" s="34"/>
      <c r="O104" s="34"/>
      <c r="P104" s="34"/>
      <c r="Q104" s="34"/>
    </row>
    <row r="105" spans="1:17" x14ac:dyDescent="0.35">
      <c r="A105" s="29"/>
      <c r="B105" s="1"/>
      <c r="C105" s="1"/>
      <c r="D105" s="1"/>
      <c r="E105" s="1"/>
      <c r="F105" s="1"/>
      <c r="G105" s="1"/>
      <c r="H105" s="1"/>
      <c r="I105" s="1"/>
      <c r="J105" s="1"/>
      <c r="K105" s="2"/>
      <c r="L105" s="2"/>
      <c r="M105" s="1"/>
      <c r="N105" s="34"/>
      <c r="O105" s="34"/>
      <c r="P105" s="34"/>
      <c r="Q105" s="34"/>
    </row>
    <row r="106" spans="1:17" x14ac:dyDescent="0.35">
      <c r="A106" s="29"/>
      <c r="B106" s="1"/>
      <c r="C106" s="1"/>
      <c r="D106" s="1"/>
      <c r="E106" s="1"/>
      <c r="F106" s="1"/>
      <c r="G106" s="1"/>
      <c r="H106" s="1"/>
      <c r="I106" s="1"/>
      <c r="J106" s="1"/>
      <c r="K106" s="2"/>
      <c r="L106" s="2"/>
      <c r="M106" s="1"/>
      <c r="N106" s="34"/>
      <c r="O106" s="34"/>
      <c r="P106" s="34"/>
      <c r="Q106" s="34"/>
    </row>
    <row r="107" spans="1:17" x14ac:dyDescent="0.35">
      <c r="A107" s="29"/>
      <c r="B107" s="1"/>
      <c r="C107" s="1"/>
      <c r="D107" s="1"/>
      <c r="E107" s="1"/>
      <c r="F107" s="1"/>
      <c r="G107" s="1"/>
      <c r="H107" s="1"/>
      <c r="I107" s="1"/>
      <c r="J107" s="1"/>
      <c r="K107" s="2"/>
      <c r="L107" s="2"/>
      <c r="M107" s="1"/>
      <c r="N107" s="34"/>
      <c r="O107" s="34"/>
      <c r="P107" s="34"/>
      <c r="Q107" s="34"/>
    </row>
    <row r="108" spans="1:17" x14ac:dyDescent="0.35">
      <c r="A108" s="29"/>
      <c r="B108" s="1"/>
      <c r="C108" s="1"/>
      <c r="D108" s="1"/>
      <c r="E108" s="1"/>
      <c r="F108" s="1"/>
      <c r="G108" s="1"/>
      <c r="H108" s="1"/>
      <c r="I108" s="1"/>
      <c r="J108" s="1"/>
      <c r="K108" s="2"/>
      <c r="L108" s="2"/>
      <c r="M108" s="1"/>
      <c r="N108" s="34"/>
      <c r="O108" s="34"/>
      <c r="P108" s="34"/>
      <c r="Q108" s="34"/>
    </row>
    <row r="109" spans="1:17" x14ac:dyDescent="0.35">
      <c r="A109" s="29"/>
      <c r="B109" s="1"/>
      <c r="C109" s="1"/>
      <c r="D109" s="1"/>
      <c r="E109" s="1"/>
      <c r="F109" s="1"/>
      <c r="G109" s="1"/>
      <c r="H109" s="1"/>
      <c r="I109" s="1"/>
      <c r="J109" s="1"/>
      <c r="K109" s="2"/>
      <c r="L109" s="2"/>
      <c r="M109" s="1"/>
      <c r="N109" s="34"/>
      <c r="O109" s="34"/>
      <c r="P109" s="34"/>
      <c r="Q109" s="34"/>
    </row>
    <row r="110" spans="1:17" x14ac:dyDescent="0.35">
      <c r="A110" s="29"/>
      <c r="B110" s="1"/>
      <c r="C110" s="1"/>
      <c r="D110" s="1"/>
      <c r="E110" s="1"/>
      <c r="F110" s="1"/>
      <c r="G110" s="1"/>
      <c r="H110" s="1"/>
      <c r="I110" s="1"/>
      <c r="J110" s="1"/>
      <c r="K110" s="2"/>
      <c r="L110" s="2"/>
      <c r="M110" s="1"/>
      <c r="N110" s="34"/>
      <c r="O110" s="34"/>
      <c r="P110" s="34"/>
      <c r="Q110" s="34"/>
    </row>
    <row r="111" spans="1:17" x14ac:dyDescent="0.35">
      <c r="A111" s="29"/>
      <c r="B111" s="1"/>
      <c r="C111" s="1"/>
      <c r="D111" s="1"/>
      <c r="E111" s="1"/>
      <c r="F111" s="1"/>
      <c r="G111" s="1"/>
      <c r="H111" s="1"/>
      <c r="I111" s="1"/>
      <c r="J111" s="1"/>
      <c r="K111" s="2"/>
      <c r="L111" s="2"/>
      <c r="M111" s="1"/>
      <c r="N111" s="34"/>
      <c r="O111" s="34"/>
      <c r="P111" s="34"/>
      <c r="Q111" s="34"/>
    </row>
    <row r="112" spans="1:17" x14ac:dyDescent="0.35">
      <c r="A112" s="29"/>
      <c r="B112" s="1"/>
      <c r="C112" s="1"/>
      <c r="D112" s="1"/>
      <c r="E112" s="1"/>
      <c r="F112" s="1"/>
      <c r="G112" s="1"/>
      <c r="H112" s="1"/>
      <c r="I112" s="1"/>
      <c r="J112" s="1"/>
      <c r="K112" s="2"/>
      <c r="L112" s="2"/>
      <c r="M112" s="1"/>
      <c r="N112" s="34"/>
      <c r="O112" s="34"/>
      <c r="P112" s="34"/>
      <c r="Q112" s="34"/>
    </row>
    <row r="113" spans="1:17" x14ac:dyDescent="0.35">
      <c r="A113" s="29"/>
      <c r="B113" s="1"/>
      <c r="C113" s="1"/>
      <c r="D113" s="1"/>
      <c r="E113" s="1"/>
      <c r="F113" s="1"/>
      <c r="G113" s="1"/>
      <c r="H113" s="1"/>
      <c r="I113" s="1"/>
      <c r="J113" s="1"/>
      <c r="K113" s="2"/>
      <c r="L113" s="2"/>
      <c r="M113" s="1"/>
      <c r="N113" s="34"/>
      <c r="O113" s="34"/>
      <c r="P113" s="34"/>
      <c r="Q113" s="34"/>
    </row>
    <row r="114" spans="1:17" x14ac:dyDescent="0.35">
      <c r="A114" s="29"/>
      <c r="B114" s="1"/>
      <c r="C114" s="1"/>
      <c r="D114" s="1"/>
      <c r="E114" s="1"/>
      <c r="F114" s="1"/>
      <c r="G114" s="1"/>
      <c r="H114" s="1"/>
      <c r="I114" s="1"/>
      <c r="J114" s="1"/>
      <c r="K114" s="2"/>
      <c r="L114" s="2"/>
      <c r="M114" s="1"/>
      <c r="N114" s="34"/>
      <c r="O114" s="34"/>
      <c r="P114" s="34"/>
      <c r="Q114" s="34"/>
    </row>
    <row r="115" spans="1:17" x14ac:dyDescent="0.35">
      <c r="A115" s="29"/>
      <c r="B115" s="1"/>
      <c r="C115" s="1"/>
      <c r="D115" s="1"/>
      <c r="E115" s="1"/>
      <c r="F115" s="1"/>
      <c r="G115" s="1"/>
      <c r="H115" s="1"/>
      <c r="I115" s="1"/>
      <c r="J115" s="1"/>
      <c r="K115" s="2"/>
      <c r="L115" s="2"/>
      <c r="M115" s="1"/>
      <c r="N115" s="34"/>
      <c r="O115" s="34"/>
      <c r="P115" s="34"/>
      <c r="Q115" s="34"/>
    </row>
    <row r="116" spans="1:17" x14ac:dyDescent="0.35">
      <c r="A116" s="29"/>
      <c r="B116" s="1"/>
      <c r="C116" s="1"/>
      <c r="D116" s="1"/>
      <c r="E116" s="1"/>
      <c r="F116" s="1"/>
      <c r="G116" s="1"/>
      <c r="H116" s="1"/>
      <c r="I116" s="1"/>
      <c r="J116" s="1"/>
      <c r="K116" s="2"/>
      <c r="L116" s="2"/>
      <c r="M116" s="1"/>
      <c r="N116" s="34"/>
      <c r="O116" s="34"/>
      <c r="P116" s="34"/>
      <c r="Q116" s="34"/>
    </row>
    <row r="117" spans="1:17" x14ac:dyDescent="0.35">
      <c r="A117" s="29"/>
      <c r="B117" s="1"/>
      <c r="C117" s="1"/>
      <c r="D117" s="1"/>
      <c r="E117" s="1"/>
      <c r="F117" s="1"/>
      <c r="G117" s="1"/>
      <c r="H117" s="1"/>
      <c r="I117" s="1"/>
      <c r="J117" s="1"/>
      <c r="K117" s="2"/>
      <c r="L117" s="2"/>
      <c r="M117" s="1"/>
      <c r="N117" s="34"/>
      <c r="O117" s="34"/>
      <c r="P117" s="34"/>
      <c r="Q117" s="34"/>
    </row>
    <row r="118" spans="1:17" x14ac:dyDescent="0.35">
      <c r="A118" s="29"/>
      <c r="B118" s="1"/>
      <c r="C118" s="1"/>
      <c r="D118" s="1"/>
      <c r="E118" s="1"/>
      <c r="F118" s="1"/>
      <c r="G118" s="1"/>
      <c r="H118" s="1"/>
      <c r="I118" s="1"/>
      <c r="J118" s="1"/>
      <c r="K118" s="2"/>
      <c r="L118" s="2"/>
      <c r="M118" s="1"/>
      <c r="N118" s="34"/>
      <c r="O118" s="34"/>
      <c r="P118" s="34"/>
      <c r="Q118" s="34"/>
    </row>
    <row r="119" spans="1:17" x14ac:dyDescent="0.35">
      <c r="A119" s="29"/>
      <c r="B119" s="1"/>
      <c r="C119" s="1"/>
      <c r="D119" s="1"/>
      <c r="E119" s="1"/>
      <c r="F119" s="1"/>
      <c r="G119" s="1"/>
      <c r="H119" s="1"/>
      <c r="I119" s="1"/>
      <c r="J119" s="1"/>
      <c r="K119" s="2"/>
      <c r="L119" s="2"/>
      <c r="M119" s="1"/>
      <c r="N119" s="34"/>
      <c r="O119" s="34"/>
      <c r="P119" s="34"/>
      <c r="Q119" s="34"/>
    </row>
    <row r="120" spans="1:17" x14ac:dyDescent="0.35">
      <c r="A120" s="54"/>
      <c r="B120" s="55"/>
      <c r="C120" s="55"/>
      <c r="D120" s="55"/>
      <c r="E120" s="55"/>
      <c r="F120" s="55"/>
      <c r="G120" s="55"/>
      <c r="H120" s="55"/>
      <c r="I120" s="55"/>
      <c r="J120" s="55"/>
      <c r="K120" s="34"/>
      <c r="L120" s="34"/>
      <c r="M120" s="55"/>
      <c r="N120" s="34"/>
      <c r="O120" s="34"/>
      <c r="P120" s="34"/>
      <c r="Q120" s="34"/>
    </row>
  </sheetData>
  <mergeCells count="10">
    <mergeCell ref="A92:C92"/>
    <mergeCell ref="J92:L92"/>
    <mergeCell ref="A98:L98"/>
    <mergeCell ref="A99:L99"/>
    <mergeCell ref="A1:B1"/>
    <mergeCell ref="K1:L1"/>
    <mergeCell ref="A2:B2"/>
    <mergeCell ref="A3:L3"/>
    <mergeCell ref="J90:L90"/>
    <mergeCell ref="J91:L91"/>
  </mergeCells>
  <pageMargins left="0.53" right="0.17" top="0.75" bottom="0.75" header="0.3" footer="0.3"/>
  <pageSetup paperSize="9" scale="82"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A73ED-97AD-43C2-91F6-3EB9F3B97A13}">
  <sheetPr>
    <tabColor rgb="FFFFFF00"/>
    <pageSetUpPr fitToPage="1"/>
  </sheetPr>
  <dimension ref="A1:L78"/>
  <sheetViews>
    <sheetView workbookViewId="0">
      <selection activeCell="C44" sqref="C44"/>
    </sheetView>
  </sheetViews>
  <sheetFormatPr defaultRowHeight="14.5" x14ac:dyDescent="0.35"/>
  <cols>
    <col min="1" max="1" width="4.90625" customWidth="1"/>
    <col min="2" max="2" width="27.6328125" customWidth="1"/>
    <col min="3" max="3" width="8.26953125" customWidth="1"/>
    <col min="4" max="12" width="8.08984375" customWidth="1"/>
  </cols>
  <sheetData>
    <row r="1" spans="1:12" x14ac:dyDescent="0.35">
      <c r="A1" s="823" t="s">
        <v>0</v>
      </c>
      <c r="B1" s="823"/>
      <c r="C1" s="1"/>
      <c r="D1" s="1"/>
      <c r="E1" s="1"/>
      <c r="F1" s="1"/>
      <c r="G1" s="1"/>
      <c r="H1" s="1"/>
      <c r="I1" s="1"/>
      <c r="J1" s="1"/>
      <c r="K1" s="824" t="s">
        <v>1</v>
      </c>
      <c r="L1" s="824"/>
    </row>
    <row r="2" spans="1:12" x14ac:dyDescent="0.35">
      <c r="A2" s="825" t="s">
        <v>2</v>
      </c>
      <c r="B2" s="825"/>
      <c r="C2" s="1"/>
      <c r="D2" s="1"/>
      <c r="E2" s="1"/>
      <c r="F2" s="1"/>
      <c r="G2" s="1"/>
      <c r="H2" s="1"/>
      <c r="I2" s="1"/>
      <c r="J2" s="1"/>
      <c r="K2" s="2"/>
      <c r="L2" s="2"/>
    </row>
    <row r="3" spans="1:12" x14ac:dyDescent="0.35">
      <c r="A3" s="817" t="s">
        <v>66</v>
      </c>
      <c r="B3" s="817"/>
      <c r="C3" s="817"/>
      <c r="D3" s="817"/>
      <c r="E3" s="817"/>
      <c r="F3" s="817"/>
      <c r="G3" s="817"/>
      <c r="H3" s="817"/>
      <c r="I3" s="817"/>
      <c r="J3" s="817"/>
      <c r="K3" s="817"/>
      <c r="L3" s="817"/>
    </row>
    <row r="4" spans="1:12" ht="15" thickBot="1" x14ac:dyDescent="0.4">
      <c r="A4" s="3"/>
      <c r="B4" s="3"/>
      <c r="C4" s="3"/>
      <c r="D4" s="3"/>
      <c r="E4" s="3"/>
      <c r="F4" s="3"/>
      <c r="G4" s="3"/>
      <c r="H4" s="3"/>
      <c r="I4" s="3"/>
      <c r="J4" s="3"/>
      <c r="K4" s="3"/>
      <c r="L4" s="4" t="s">
        <v>4</v>
      </c>
    </row>
    <row r="5" spans="1:12" ht="45" customHeight="1" thickTop="1" x14ac:dyDescent="0.35">
      <c r="A5" s="5" t="s">
        <v>5</v>
      </c>
      <c r="B5" s="6" t="s">
        <v>6</v>
      </c>
      <c r="C5" s="6" t="s">
        <v>7</v>
      </c>
      <c r="D5" s="6" t="s">
        <v>8</v>
      </c>
      <c r="E5" s="6" t="s">
        <v>9</v>
      </c>
      <c r="F5" s="6" t="s">
        <v>10</v>
      </c>
      <c r="G5" s="6" t="s">
        <v>11</v>
      </c>
      <c r="H5" s="6" t="s">
        <v>12</v>
      </c>
      <c r="I5" s="6" t="s">
        <v>13</v>
      </c>
      <c r="J5" s="6" t="s">
        <v>14</v>
      </c>
      <c r="K5" s="6" t="s">
        <v>15</v>
      </c>
      <c r="L5" s="7" t="s">
        <v>16</v>
      </c>
    </row>
    <row r="6" spans="1:12" x14ac:dyDescent="0.35">
      <c r="A6" s="8" t="s">
        <v>17</v>
      </c>
      <c r="B6" s="9" t="s">
        <v>18</v>
      </c>
      <c r="C6" s="10"/>
      <c r="D6" s="10"/>
      <c r="E6" s="10"/>
      <c r="F6" s="10"/>
      <c r="G6" s="10"/>
      <c r="H6" s="10"/>
      <c r="I6" s="10"/>
      <c r="J6" s="10"/>
      <c r="K6" s="11"/>
      <c r="L6" s="12"/>
    </row>
    <row r="7" spans="1:12" x14ac:dyDescent="0.35">
      <c r="A7" s="58" t="s">
        <v>19</v>
      </c>
      <c r="B7" s="24" t="s">
        <v>67</v>
      </c>
      <c r="C7" s="25"/>
      <c r="D7" s="26"/>
      <c r="E7" s="26"/>
      <c r="F7" s="26"/>
      <c r="G7" s="26"/>
      <c r="H7" s="26"/>
      <c r="I7" s="26"/>
      <c r="J7" s="26"/>
      <c r="K7" s="27"/>
      <c r="L7" s="28"/>
    </row>
    <row r="8" spans="1:12" ht="81" x14ac:dyDescent="0.35">
      <c r="A8" s="13" t="s">
        <v>21</v>
      </c>
      <c r="B8" s="14" t="s">
        <v>22</v>
      </c>
      <c r="C8" s="15" t="s">
        <v>23</v>
      </c>
      <c r="D8" s="16">
        <f>SUM(D9:D13)</f>
        <v>0</v>
      </c>
      <c r="E8" s="16">
        <f t="shared" ref="E8:J8" si="0">SUM(E9:E13)</f>
        <v>0</v>
      </c>
      <c r="F8" s="16">
        <f t="shared" si="0"/>
        <v>0</v>
      </c>
      <c r="G8" s="16">
        <f t="shared" si="0"/>
        <v>0</v>
      </c>
      <c r="H8" s="16">
        <f t="shared" si="0"/>
        <v>0</v>
      </c>
      <c r="I8" s="16">
        <f t="shared" si="0"/>
        <v>0</v>
      </c>
      <c r="J8" s="16">
        <f t="shared" si="0"/>
        <v>0</v>
      </c>
      <c r="K8" s="16">
        <f t="shared" ref="K8:K28" si="1">SUM(D8:J8)</f>
        <v>0</v>
      </c>
      <c r="L8" s="17"/>
    </row>
    <row r="9" spans="1:12" x14ac:dyDescent="0.35">
      <c r="A9" s="13"/>
      <c r="B9" s="18" t="s">
        <v>24</v>
      </c>
      <c r="C9" s="15" t="s">
        <v>23</v>
      </c>
      <c r="D9" s="16"/>
      <c r="E9" s="16"/>
      <c r="F9" s="16"/>
      <c r="G9" s="16"/>
      <c r="H9" s="16"/>
      <c r="I9" s="16"/>
      <c r="J9" s="16"/>
      <c r="K9" s="16">
        <f t="shared" si="1"/>
        <v>0</v>
      </c>
      <c r="L9" s="17"/>
    </row>
    <row r="10" spans="1:12" x14ac:dyDescent="0.35">
      <c r="A10" s="13"/>
      <c r="B10" s="18" t="s">
        <v>25</v>
      </c>
      <c r="C10" s="15" t="s">
        <v>23</v>
      </c>
      <c r="D10" s="16"/>
      <c r="E10" s="16"/>
      <c r="F10" s="16"/>
      <c r="G10" s="16"/>
      <c r="H10" s="16"/>
      <c r="I10" s="16"/>
      <c r="J10" s="16"/>
      <c r="K10" s="16">
        <f t="shared" si="1"/>
        <v>0</v>
      </c>
      <c r="L10" s="17"/>
    </row>
    <row r="11" spans="1:12" x14ac:dyDescent="0.35">
      <c r="A11" s="13"/>
      <c r="B11" s="18" t="s">
        <v>37</v>
      </c>
      <c r="C11" s="15" t="s">
        <v>23</v>
      </c>
      <c r="D11" s="16"/>
      <c r="E11" s="16"/>
      <c r="F11" s="16"/>
      <c r="G11" s="16"/>
      <c r="H11" s="16"/>
      <c r="I11" s="16"/>
      <c r="J11" s="16"/>
      <c r="K11" s="16">
        <f t="shared" si="1"/>
        <v>0</v>
      </c>
      <c r="L11" s="17"/>
    </row>
    <row r="12" spans="1:12" x14ac:dyDescent="0.35">
      <c r="A12" s="13"/>
      <c r="B12" s="18" t="s">
        <v>38</v>
      </c>
      <c r="C12" s="15" t="s">
        <v>23</v>
      </c>
      <c r="D12" s="16"/>
      <c r="E12" s="16"/>
      <c r="F12" s="16"/>
      <c r="G12" s="16"/>
      <c r="H12" s="16"/>
      <c r="I12" s="16"/>
      <c r="J12" s="16"/>
      <c r="K12" s="16">
        <f t="shared" si="1"/>
        <v>0</v>
      </c>
      <c r="L12" s="17"/>
    </row>
    <row r="13" spans="1:12" x14ac:dyDescent="0.35">
      <c r="A13" s="13"/>
      <c r="B13" s="18" t="s">
        <v>39</v>
      </c>
      <c r="C13" s="15" t="s">
        <v>23</v>
      </c>
      <c r="D13" s="16"/>
      <c r="E13" s="16"/>
      <c r="F13" s="16"/>
      <c r="G13" s="16"/>
      <c r="H13" s="16"/>
      <c r="I13" s="16"/>
      <c r="J13" s="16"/>
      <c r="K13" s="16">
        <f t="shared" si="1"/>
        <v>0</v>
      </c>
      <c r="L13" s="17"/>
    </row>
    <row r="14" spans="1:12" ht="67.5" x14ac:dyDescent="0.35">
      <c r="A14" s="19" t="s">
        <v>30</v>
      </c>
      <c r="B14" s="14" t="s">
        <v>31</v>
      </c>
      <c r="C14" s="15"/>
      <c r="D14" s="16">
        <f>SUM(D15:D19)</f>
        <v>0</v>
      </c>
      <c r="E14" s="16">
        <f t="shared" ref="E14:J14" si="2">SUM(E15:E19)</f>
        <v>0</v>
      </c>
      <c r="F14" s="16">
        <f t="shared" si="2"/>
        <v>0</v>
      </c>
      <c r="G14" s="16">
        <f t="shared" si="2"/>
        <v>0</v>
      </c>
      <c r="H14" s="16">
        <f t="shared" si="2"/>
        <v>0</v>
      </c>
      <c r="I14" s="16">
        <f t="shared" si="2"/>
        <v>0</v>
      </c>
      <c r="J14" s="16">
        <f t="shared" si="2"/>
        <v>0</v>
      </c>
      <c r="K14" s="16">
        <f t="shared" si="1"/>
        <v>0</v>
      </c>
      <c r="L14" s="17"/>
    </row>
    <row r="15" spans="1:12" x14ac:dyDescent="0.35">
      <c r="A15" s="13"/>
      <c r="B15" s="18" t="s">
        <v>24</v>
      </c>
      <c r="C15" s="15" t="s">
        <v>23</v>
      </c>
      <c r="D15" s="16"/>
      <c r="E15" s="16"/>
      <c r="F15" s="16"/>
      <c r="G15" s="16"/>
      <c r="H15" s="16"/>
      <c r="I15" s="16"/>
      <c r="J15" s="16"/>
      <c r="K15" s="16">
        <f t="shared" si="1"/>
        <v>0</v>
      </c>
      <c r="L15" s="17"/>
    </row>
    <row r="16" spans="1:12" x14ac:dyDescent="0.35">
      <c r="A16" s="13"/>
      <c r="B16" s="18" t="s">
        <v>25</v>
      </c>
      <c r="C16" s="15" t="s">
        <v>23</v>
      </c>
      <c r="D16" s="16"/>
      <c r="E16" s="16"/>
      <c r="F16" s="16"/>
      <c r="G16" s="16"/>
      <c r="H16" s="16"/>
      <c r="I16" s="16"/>
      <c r="J16" s="16"/>
      <c r="K16" s="16">
        <f t="shared" si="1"/>
        <v>0</v>
      </c>
      <c r="L16" s="17"/>
    </row>
    <row r="17" spans="1:12" x14ac:dyDescent="0.35">
      <c r="A17" s="13"/>
      <c r="B17" s="18" t="s">
        <v>37</v>
      </c>
      <c r="C17" s="15" t="s">
        <v>23</v>
      </c>
      <c r="D17" s="16"/>
      <c r="E17" s="16"/>
      <c r="F17" s="16"/>
      <c r="G17" s="16"/>
      <c r="H17" s="16"/>
      <c r="I17" s="16"/>
      <c r="J17" s="16"/>
      <c r="K17" s="16">
        <f t="shared" si="1"/>
        <v>0</v>
      </c>
      <c r="L17" s="17"/>
    </row>
    <row r="18" spans="1:12" x14ac:dyDescent="0.35">
      <c r="A18" s="13"/>
      <c r="B18" s="18" t="s">
        <v>38</v>
      </c>
      <c r="C18" s="15" t="s">
        <v>23</v>
      </c>
      <c r="D18" s="16"/>
      <c r="E18" s="16"/>
      <c r="F18" s="16"/>
      <c r="G18" s="16"/>
      <c r="H18" s="16"/>
      <c r="I18" s="16"/>
      <c r="J18" s="16"/>
      <c r="K18" s="16">
        <f t="shared" si="1"/>
        <v>0</v>
      </c>
      <c r="L18" s="17"/>
    </row>
    <row r="19" spans="1:12" x14ac:dyDescent="0.35">
      <c r="A19" s="13"/>
      <c r="B19" s="18" t="s">
        <v>39</v>
      </c>
      <c r="C19" s="15" t="s">
        <v>23</v>
      </c>
      <c r="D19" s="16"/>
      <c r="E19" s="16"/>
      <c r="F19" s="16"/>
      <c r="G19" s="16"/>
      <c r="H19" s="16"/>
      <c r="I19" s="16"/>
      <c r="J19" s="16"/>
      <c r="K19" s="16">
        <f t="shared" si="1"/>
        <v>0</v>
      </c>
      <c r="L19" s="17"/>
    </row>
    <row r="20" spans="1:12" ht="54" x14ac:dyDescent="0.35">
      <c r="A20" s="19" t="s">
        <v>32</v>
      </c>
      <c r="B20" s="20" t="s">
        <v>33</v>
      </c>
      <c r="C20" s="15" t="s">
        <v>23</v>
      </c>
      <c r="D20" s="16"/>
      <c r="E20" s="16"/>
      <c r="F20" s="16"/>
      <c r="G20" s="16"/>
      <c r="H20" s="16"/>
      <c r="I20" s="16"/>
      <c r="J20" s="16"/>
      <c r="K20" s="16">
        <f t="shared" si="1"/>
        <v>0</v>
      </c>
      <c r="L20" s="17"/>
    </row>
    <row r="21" spans="1:12" x14ac:dyDescent="0.35">
      <c r="A21" s="19"/>
      <c r="B21" s="18" t="s">
        <v>40</v>
      </c>
      <c r="C21" s="15"/>
      <c r="D21" s="16"/>
      <c r="E21" s="16"/>
      <c r="F21" s="16"/>
      <c r="G21" s="16"/>
      <c r="H21" s="16"/>
      <c r="I21" s="16"/>
      <c r="J21" s="16"/>
      <c r="K21" s="16">
        <f t="shared" si="1"/>
        <v>0</v>
      </c>
      <c r="L21" s="17"/>
    </row>
    <row r="22" spans="1:12" ht="81" x14ac:dyDescent="0.35">
      <c r="A22" s="19" t="s">
        <v>35</v>
      </c>
      <c r="B22" s="14" t="s">
        <v>36</v>
      </c>
      <c r="C22" s="21" t="s">
        <v>23</v>
      </c>
      <c r="D22" s="22">
        <f>SUM(D23:D28)</f>
        <v>0</v>
      </c>
      <c r="E22" s="22">
        <f t="shared" ref="E22:J22" si="3">SUM(E23:E28)</f>
        <v>0</v>
      </c>
      <c r="F22" s="22">
        <f t="shared" si="3"/>
        <v>0</v>
      </c>
      <c r="G22" s="22">
        <f t="shared" si="3"/>
        <v>0</v>
      </c>
      <c r="H22" s="22">
        <f t="shared" si="3"/>
        <v>0</v>
      </c>
      <c r="I22" s="22">
        <f t="shared" si="3"/>
        <v>0</v>
      </c>
      <c r="J22" s="22">
        <f t="shared" si="3"/>
        <v>0</v>
      </c>
      <c r="K22" s="22">
        <f t="shared" si="1"/>
        <v>0</v>
      </c>
      <c r="L22" s="23"/>
    </row>
    <row r="23" spans="1:12" x14ac:dyDescent="0.35">
      <c r="A23" s="13"/>
      <c r="B23" s="18" t="s">
        <v>24</v>
      </c>
      <c r="C23" s="15" t="s">
        <v>23</v>
      </c>
      <c r="D23" s="16">
        <f>D9-D15</f>
        <v>0</v>
      </c>
      <c r="E23" s="16">
        <f t="shared" ref="E23:J23" si="4">E9-E15</f>
        <v>0</v>
      </c>
      <c r="F23" s="16">
        <f t="shared" si="4"/>
        <v>0</v>
      </c>
      <c r="G23" s="16">
        <f t="shared" si="4"/>
        <v>0</v>
      </c>
      <c r="H23" s="16">
        <f t="shared" si="4"/>
        <v>0</v>
      </c>
      <c r="I23" s="16">
        <f t="shared" si="4"/>
        <v>0</v>
      </c>
      <c r="J23" s="16">
        <f t="shared" si="4"/>
        <v>0</v>
      </c>
      <c r="K23" s="16">
        <f t="shared" si="1"/>
        <v>0</v>
      </c>
      <c r="L23" s="17"/>
    </row>
    <row r="24" spans="1:12" x14ac:dyDescent="0.35">
      <c r="A24" s="13"/>
      <c r="B24" s="18" t="s">
        <v>25</v>
      </c>
      <c r="C24" s="15" t="s">
        <v>23</v>
      </c>
      <c r="D24" s="16">
        <f>+D10-D16</f>
        <v>0</v>
      </c>
      <c r="E24" s="16">
        <f t="shared" ref="E24:J27" si="5">+E10-E16</f>
        <v>0</v>
      </c>
      <c r="F24" s="16">
        <f t="shared" si="5"/>
        <v>0</v>
      </c>
      <c r="G24" s="16">
        <f t="shared" si="5"/>
        <v>0</v>
      </c>
      <c r="H24" s="16">
        <f t="shared" si="5"/>
        <v>0</v>
      </c>
      <c r="I24" s="16">
        <f t="shared" si="5"/>
        <v>0</v>
      </c>
      <c r="J24" s="16">
        <f t="shared" si="5"/>
        <v>0</v>
      </c>
      <c r="K24" s="16">
        <f t="shared" si="1"/>
        <v>0</v>
      </c>
      <c r="L24" s="17"/>
    </row>
    <row r="25" spans="1:12" x14ac:dyDescent="0.35">
      <c r="A25" s="13"/>
      <c r="B25" s="18" t="s">
        <v>37</v>
      </c>
      <c r="C25" s="15" t="s">
        <v>23</v>
      </c>
      <c r="D25" s="16">
        <f>+D11-D17</f>
        <v>0</v>
      </c>
      <c r="E25" s="16">
        <f t="shared" si="5"/>
        <v>0</v>
      </c>
      <c r="F25" s="16">
        <f t="shared" si="5"/>
        <v>0</v>
      </c>
      <c r="G25" s="16">
        <f t="shared" si="5"/>
        <v>0</v>
      </c>
      <c r="H25" s="16">
        <f t="shared" si="5"/>
        <v>0</v>
      </c>
      <c r="I25" s="16">
        <f t="shared" si="5"/>
        <v>0</v>
      </c>
      <c r="J25" s="16">
        <f t="shared" si="5"/>
        <v>0</v>
      </c>
      <c r="K25" s="16">
        <f t="shared" si="1"/>
        <v>0</v>
      </c>
      <c r="L25" s="17"/>
    </row>
    <row r="26" spans="1:12" x14ac:dyDescent="0.35">
      <c r="A26" s="13"/>
      <c r="B26" s="18" t="s">
        <v>38</v>
      </c>
      <c r="C26" s="15" t="s">
        <v>23</v>
      </c>
      <c r="D26" s="16">
        <f>+D12-D18</f>
        <v>0</v>
      </c>
      <c r="E26" s="16">
        <f t="shared" si="5"/>
        <v>0</v>
      </c>
      <c r="F26" s="16">
        <f t="shared" si="5"/>
        <v>0</v>
      </c>
      <c r="G26" s="16">
        <f t="shared" si="5"/>
        <v>0</v>
      </c>
      <c r="H26" s="16">
        <f t="shared" si="5"/>
        <v>0</v>
      </c>
      <c r="I26" s="16">
        <f t="shared" si="5"/>
        <v>0</v>
      </c>
      <c r="J26" s="16">
        <f t="shared" si="5"/>
        <v>0</v>
      </c>
      <c r="K26" s="16">
        <f t="shared" si="1"/>
        <v>0</v>
      </c>
      <c r="L26" s="17"/>
    </row>
    <row r="27" spans="1:12" x14ac:dyDescent="0.35">
      <c r="A27" s="13"/>
      <c r="B27" s="18" t="s">
        <v>39</v>
      </c>
      <c r="C27" s="15" t="s">
        <v>23</v>
      </c>
      <c r="D27" s="16">
        <f>+D13-D19</f>
        <v>0</v>
      </c>
      <c r="E27" s="16">
        <f t="shared" si="5"/>
        <v>0</v>
      </c>
      <c r="F27" s="16">
        <f t="shared" si="5"/>
        <v>0</v>
      </c>
      <c r="G27" s="16">
        <f t="shared" si="5"/>
        <v>0</v>
      </c>
      <c r="H27" s="16">
        <f t="shared" si="5"/>
        <v>0</v>
      </c>
      <c r="I27" s="16">
        <f t="shared" si="5"/>
        <v>0</v>
      </c>
      <c r="J27" s="16">
        <f t="shared" si="5"/>
        <v>0</v>
      </c>
      <c r="K27" s="16">
        <f t="shared" si="1"/>
        <v>0</v>
      </c>
      <c r="L27" s="17"/>
    </row>
    <row r="28" spans="1:12" x14ac:dyDescent="0.35">
      <c r="A28" s="13"/>
      <c r="B28" s="18" t="s">
        <v>40</v>
      </c>
      <c r="C28" s="15" t="s">
        <v>23</v>
      </c>
      <c r="D28" s="16">
        <f>+D21</f>
        <v>0</v>
      </c>
      <c r="E28" s="16">
        <f t="shared" ref="E28:J28" si="6">+E21</f>
        <v>0</v>
      </c>
      <c r="F28" s="16">
        <f t="shared" si="6"/>
        <v>0</v>
      </c>
      <c r="G28" s="16">
        <f t="shared" si="6"/>
        <v>0</v>
      </c>
      <c r="H28" s="16">
        <f t="shared" si="6"/>
        <v>0</v>
      </c>
      <c r="I28" s="16">
        <f t="shared" si="6"/>
        <v>0</v>
      </c>
      <c r="J28" s="16">
        <f t="shared" si="6"/>
        <v>0</v>
      </c>
      <c r="K28" s="16">
        <f t="shared" si="1"/>
        <v>0</v>
      </c>
      <c r="L28" s="17"/>
    </row>
    <row r="29" spans="1:12" s="523" customFormat="1" ht="36.65" customHeight="1" x14ac:dyDescent="0.35">
      <c r="A29" s="519"/>
      <c r="B29" s="520" t="s">
        <v>618</v>
      </c>
      <c r="C29" s="521"/>
      <c r="D29" s="516"/>
      <c r="E29" s="516"/>
      <c r="F29" s="516"/>
      <c r="G29" s="516"/>
      <c r="H29" s="516"/>
      <c r="I29" s="516"/>
      <c r="J29" s="516"/>
      <c r="K29" s="516"/>
      <c r="L29" s="522"/>
    </row>
    <row r="30" spans="1:12" ht="81" x14ac:dyDescent="0.35">
      <c r="A30" s="13" t="s">
        <v>21</v>
      </c>
      <c r="B30" s="14" t="s">
        <v>22</v>
      </c>
      <c r="C30" s="15" t="s">
        <v>23</v>
      </c>
      <c r="D30" s="16">
        <f>SUM(D31:D35)</f>
        <v>0</v>
      </c>
      <c r="E30" s="16">
        <f t="shared" ref="E30:J30" si="7">SUM(E31:E35)</f>
        <v>0</v>
      </c>
      <c r="F30" s="16">
        <f t="shared" si="7"/>
        <v>0</v>
      </c>
      <c r="G30" s="16">
        <f t="shared" si="7"/>
        <v>0</v>
      </c>
      <c r="H30" s="16">
        <f t="shared" si="7"/>
        <v>0</v>
      </c>
      <c r="I30" s="16">
        <f t="shared" si="7"/>
        <v>0</v>
      </c>
      <c r="J30" s="16">
        <f t="shared" si="7"/>
        <v>0</v>
      </c>
      <c r="K30" s="16">
        <f t="shared" ref="K30:K50" si="8">SUM(D30:J30)</f>
        <v>0</v>
      </c>
      <c r="L30" s="17"/>
    </row>
    <row r="31" spans="1:12" x14ac:dyDescent="0.35">
      <c r="A31" s="13"/>
      <c r="B31" s="518" t="s">
        <v>24</v>
      </c>
      <c r="C31" s="15" t="s">
        <v>23</v>
      </c>
      <c r="D31" s="16"/>
      <c r="E31" s="16"/>
      <c r="F31" s="16"/>
      <c r="G31" s="16"/>
      <c r="H31" s="16"/>
      <c r="I31" s="16"/>
      <c r="J31" s="16"/>
      <c r="K31" s="16">
        <f t="shared" si="8"/>
        <v>0</v>
      </c>
      <c r="L31" s="17"/>
    </row>
    <row r="32" spans="1:12" x14ac:dyDescent="0.35">
      <c r="A32" s="13"/>
      <c r="B32" s="518" t="s">
        <v>25</v>
      </c>
      <c r="C32" s="15" t="s">
        <v>23</v>
      </c>
      <c r="D32" s="16"/>
      <c r="E32" s="16"/>
      <c r="F32" s="16"/>
      <c r="G32" s="16"/>
      <c r="H32" s="16"/>
      <c r="I32" s="16"/>
      <c r="J32" s="16"/>
      <c r="K32" s="16">
        <f t="shared" si="8"/>
        <v>0</v>
      </c>
      <c r="L32" s="17"/>
    </row>
    <row r="33" spans="1:12" x14ac:dyDescent="0.35">
      <c r="A33" s="13"/>
      <c r="B33" s="518" t="s">
        <v>37</v>
      </c>
      <c r="C33" s="15" t="s">
        <v>23</v>
      </c>
      <c r="D33" s="16"/>
      <c r="E33" s="16"/>
      <c r="F33" s="16"/>
      <c r="G33" s="16"/>
      <c r="H33" s="16"/>
      <c r="I33" s="16"/>
      <c r="J33" s="16"/>
      <c r="K33" s="16">
        <f t="shared" si="8"/>
        <v>0</v>
      </c>
      <c r="L33" s="17"/>
    </row>
    <row r="34" spans="1:12" x14ac:dyDescent="0.35">
      <c r="A34" s="13"/>
      <c r="B34" s="518" t="s">
        <v>38</v>
      </c>
      <c r="C34" s="15" t="s">
        <v>23</v>
      </c>
      <c r="D34" s="16"/>
      <c r="E34" s="16"/>
      <c r="F34" s="16"/>
      <c r="G34" s="16"/>
      <c r="H34" s="16"/>
      <c r="I34" s="16"/>
      <c r="J34" s="16"/>
      <c r="K34" s="16">
        <f t="shared" si="8"/>
        <v>0</v>
      </c>
      <c r="L34" s="17"/>
    </row>
    <row r="35" spans="1:12" x14ac:dyDescent="0.35">
      <c r="A35" s="13"/>
      <c r="B35" s="518" t="s">
        <v>39</v>
      </c>
      <c r="C35" s="15" t="s">
        <v>23</v>
      </c>
      <c r="D35" s="16"/>
      <c r="E35" s="16"/>
      <c r="F35" s="16"/>
      <c r="G35" s="16"/>
      <c r="H35" s="16"/>
      <c r="I35" s="16"/>
      <c r="J35" s="16"/>
      <c r="K35" s="16">
        <f t="shared" si="8"/>
        <v>0</v>
      </c>
      <c r="L35" s="17"/>
    </row>
    <row r="36" spans="1:12" ht="67.5" x14ac:dyDescent="0.35">
      <c r="A36" s="19" t="s">
        <v>30</v>
      </c>
      <c r="B36" s="14" t="s">
        <v>31</v>
      </c>
      <c r="C36" s="15"/>
      <c r="D36" s="16">
        <f>SUM(D37:D41)</f>
        <v>0</v>
      </c>
      <c r="E36" s="16">
        <f t="shared" ref="E36:J36" si="9">SUM(E37:E41)</f>
        <v>0</v>
      </c>
      <c r="F36" s="16">
        <f t="shared" si="9"/>
        <v>0</v>
      </c>
      <c r="G36" s="16">
        <f t="shared" si="9"/>
        <v>0</v>
      </c>
      <c r="H36" s="16">
        <f t="shared" si="9"/>
        <v>0</v>
      </c>
      <c r="I36" s="16">
        <f t="shared" si="9"/>
        <v>0</v>
      </c>
      <c r="J36" s="16">
        <f t="shared" si="9"/>
        <v>0</v>
      </c>
      <c r="K36" s="16">
        <f t="shared" si="8"/>
        <v>0</v>
      </c>
      <c r="L36" s="17"/>
    </row>
    <row r="37" spans="1:12" x14ac:dyDescent="0.35">
      <c r="A37" s="13"/>
      <c r="B37" s="518" t="s">
        <v>24</v>
      </c>
      <c r="C37" s="15" t="s">
        <v>23</v>
      </c>
      <c r="D37" s="16"/>
      <c r="E37" s="16"/>
      <c r="F37" s="16"/>
      <c r="G37" s="16"/>
      <c r="H37" s="16"/>
      <c r="I37" s="16"/>
      <c r="J37" s="16"/>
      <c r="K37" s="16">
        <f t="shared" si="8"/>
        <v>0</v>
      </c>
      <c r="L37" s="17"/>
    </row>
    <row r="38" spans="1:12" x14ac:dyDescent="0.35">
      <c r="A38" s="13"/>
      <c r="B38" s="518" t="s">
        <v>25</v>
      </c>
      <c r="C38" s="15" t="s">
        <v>23</v>
      </c>
      <c r="D38" s="16"/>
      <c r="E38" s="16"/>
      <c r="F38" s="16"/>
      <c r="G38" s="16"/>
      <c r="H38" s="16"/>
      <c r="I38" s="16"/>
      <c r="J38" s="16"/>
      <c r="K38" s="16">
        <f t="shared" si="8"/>
        <v>0</v>
      </c>
      <c r="L38" s="17"/>
    </row>
    <row r="39" spans="1:12" x14ac:dyDescent="0.35">
      <c r="A39" s="13"/>
      <c r="B39" s="518" t="s">
        <v>37</v>
      </c>
      <c r="C39" s="15" t="s">
        <v>23</v>
      </c>
      <c r="D39" s="16"/>
      <c r="E39" s="16"/>
      <c r="F39" s="16"/>
      <c r="G39" s="16"/>
      <c r="H39" s="16"/>
      <c r="I39" s="16"/>
      <c r="J39" s="16"/>
      <c r="K39" s="16">
        <f t="shared" si="8"/>
        <v>0</v>
      </c>
      <c r="L39" s="17"/>
    </row>
    <row r="40" spans="1:12" x14ac:dyDescent="0.35">
      <c r="A40" s="13"/>
      <c r="B40" s="518" t="s">
        <v>38</v>
      </c>
      <c r="C40" s="15" t="s">
        <v>23</v>
      </c>
      <c r="D40" s="16"/>
      <c r="E40" s="16"/>
      <c r="F40" s="16"/>
      <c r="G40" s="16"/>
      <c r="H40" s="16"/>
      <c r="I40" s="16"/>
      <c r="J40" s="16"/>
      <c r="K40" s="16">
        <f t="shared" si="8"/>
        <v>0</v>
      </c>
      <c r="L40" s="17"/>
    </row>
    <row r="41" spans="1:12" x14ac:dyDescent="0.35">
      <c r="A41" s="13"/>
      <c r="B41" s="518" t="s">
        <v>39</v>
      </c>
      <c r="C41" s="15" t="s">
        <v>23</v>
      </c>
      <c r="D41" s="16"/>
      <c r="E41" s="16"/>
      <c r="F41" s="16"/>
      <c r="G41" s="16"/>
      <c r="H41" s="16"/>
      <c r="I41" s="16"/>
      <c r="J41" s="16"/>
      <c r="K41" s="16">
        <f t="shared" si="8"/>
        <v>0</v>
      </c>
      <c r="L41" s="17"/>
    </row>
    <row r="42" spans="1:12" ht="54" x14ac:dyDescent="0.35">
      <c r="A42" s="19" t="s">
        <v>32</v>
      </c>
      <c r="B42" s="20" t="s">
        <v>33</v>
      </c>
      <c r="C42" s="15" t="s">
        <v>23</v>
      </c>
      <c r="D42" s="16"/>
      <c r="E42" s="16"/>
      <c r="F42" s="16"/>
      <c r="G42" s="16"/>
      <c r="H42" s="16"/>
      <c r="I42" s="16"/>
      <c r="J42" s="16"/>
      <c r="K42" s="16">
        <f t="shared" si="8"/>
        <v>0</v>
      </c>
      <c r="L42" s="17"/>
    </row>
    <row r="43" spans="1:12" x14ac:dyDescent="0.35">
      <c r="A43" s="19"/>
      <c r="B43" s="18" t="s">
        <v>40</v>
      </c>
      <c r="C43" s="15"/>
      <c r="D43" s="16"/>
      <c r="E43" s="16"/>
      <c r="F43" s="16"/>
      <c r="G43" s="16"/>
      <c r="H43" s="16"/>
      <c r="I43" s="16"/>
      <c r="J43" s="16"/>
      <c r="K43" s="16">
        <f t="shared" si="8"/>
        <v>0</v>
      </c>
      <c r="L43" s="17"/>
    </row>
    <row r="44" spans="1:12" ht="81" x14ac:dyDescent="0.35">
      <c r="A44" s="19" t="s">
        <v>35</v>
      </c>
      <c r="B44" s="14" t="s">
        <v>36</v>
      </c>
      <c r="C44" s="21" t="s">
        <v>23</v>
      </c>
      <c r="D44" s="22">
        <f>SUM(D45:D50)</f>
        <v>0</v>
      </c>
      <c r="E44" s="22">
        <f t="shared" ref="E44:J44" si="10">SUM(E45:E50)</f>
        <v>0</v>
      </c>
      <c r="F44" s="22">
        <f t="shared" si="10"/>
        <v>0</v>
      </c>
      <c r="G44" s="22">
        <f t="shared" si="10"/>
        <v>0</v>
      </c>
      <c r="H44" s="22">
        <f t="shared" si="10"/>
        <v>0</v>
      </c>
      <c r="I44" s="22">
        <f t="shared" si="10"/>
        <v>0</v>
      </c>
      <c r="J44" s="22">
        <f t="shared" si="10"/>
        <v>0</v>
      </c>
      <c r="K44" s="22">
        <f t="shared" si="8"/>
        <v>0</v>
      </c>
      <c r="L44" s="23"/>
    </row>
    <row r="45" spans="1:12" x14ac:dyDescent="0.35">
      <c r="A45" s="13"/>
      <c r="B45" s="518" t="s">
        <v>24</v>
      </c>
      <c r="C45" s="15" t="s">
        <v>23</v>
      </c>
      <c r="D45" s="16">
        <f>D31-D37</f>
        <v>0</v>
      </c>
      <c r="E45" s="16">
        <f t="shared" ref="E45:J45" si="11">E31-E37</f>
        <v>0</v>
      </c>
      <c r="F45" s="16">
        <f t="shared" si="11"/>
        <v>0</v>
      </c>
      <c r="G45" s="16">
        <f t="shared" si="11"/>
        <v>0</v>
      </c>
      <c r="H45" s="16">
        <f t="shared" si="11"/>
        <v>0</v>
      </c>
      <c r="I45" s="16">
        <f t="shared" si="11"/>
        <v>0</v>
      </c>
      <c r="J45" s="16">
        <f t="shared" si="11"/>
        <v>0</v>
      </c>
      <c r="K45" s="16">
        <f t="shared" si="8"/>
        <v>0</v>
      </c>
      <c r="L45" s="17"/>
    </row>
    <row r="46" spans="1:12" x14ac:dyDescent="0.35">
      <c r="A46" s="13"/>
      <c r="B46" s="518" t="s">
        <v>25</v>
      </c>
      <c r="C46" s="15" t="s">
        <v>23</v>
      </c>
      <c r="D46" s="16">
        <f>+D32-D38</f>
        <v>0</v>
      </c>
      <c r="E46" s="16">
        <f t="shared" ref="E46:J46" si="12">+E32-E38</f>
        <v>0</v>
      </c>
      <c r="F46" s="16">
        <f t="shared" si="12"/>
        <v>0</v>
      </c>
      <c r="G46" s="16">
        <f t="shared" si="12"/>
        <v>0</v>
      </c>
      <c r="H46" s="16">
        <f t="shared" si="12"/>
        <v>0</v>
      </c>
      <c r="I46" s="16">
        <f t="shared" si="12"/>
        <v>0</v>
      </c>
      <c r="J46" s="16">
        <f t="shared" si="12"/>
        <v>0</v>
      </c>
      <c r="K46" s="16">
        <f t="shared" si="8"/>
        <v>0</v>
      </c>
      <c r="L46" s="17"/>
    </row>
    <row r="47" spans="1:12" x14ac:dyDescent="0.35">
      <c r="A47" s="13"/>
      <c r="B47" s="518" t="s">
        <v>37</v>
      </c>
      <c r="C47" s="15" t="s">
        <v>23</v>
      </c>
      <c r="D47" s="16">
        <f>+D33-D39</f>
        <v>0</v>
      </c>
      <c r="E47" s="16">
        <f t="shared" ref="E47:J47" si="13">+E33-E39</f>
        <v>0</v>
      </c>
      <c r="F47" s="16">
        <f t="shared" si="13"/>
        <v>0</v>
      </c>
      <c r="G47" s="16">
        <f t="shared" si="13"/>
        <v>0</v>
      </c>
      <c r="H47" s="16">
        <f t="shared" si="13"/>
        <v>0</v>
      </c>
      <c r="I47" s="16">
        <f t="shared" si="13"/>
        <v>0</v>
      </c>
      <c r="J47" s="16">
        <f t="shared" si="13"/>
        <v>0</v>
      </c>
      <c r="K47" s="16">
        <f t="shared" si="8"/>
        <v>0</v>
      </c>
      <c r="L47" s="17"/>
    </row>
    <row r="48" spans="1:12" x14ac:dyDescent="0.35">
      <c r="A48" s="13"/>
      <c r="B48" s="518" t="s">
        <v>38</v>
      </c>
      <c r="C48" s="15" t="s">
        <v>23</v>
      </c>
      <c r="D48" s="16">
        <f>+D34-D40</f>
        <v>0</v>
      </c>
      <c r="E48" s="16">
        <f t="shared" ref="E48:J48" si="14">+E34-E40</f>
        <v>0</v>
      </c>
      <c r="F48" s="16">
        <f t="shared" si="14"/>
        <v>0</v>
      </c>
      <c r="G48" s="16">
        <f t="shared" si="14"/>
        <v>0</v>
      </c>
      <c r="H48" s="16">
        <f t="shared" si="14"/>
        <v>0</v>
      </c>
      <c r="I48" s="16">
        <f t="shared" si="14"/>
        <v>0</v>
      </c>
      <c r="J48" s="16">
        <f t="shared" si="14"/>
        <v>0</v>
      </c>
      <c r="K48" s="16">
        <f t="shared" si="8"/>
        <v>0</v>
      </c>
      <c r="L48" s="17"/>
    </row>
    <row r="49" spans="1:12" x14ac:dyDescent="0.35">
      <c r="A49" s="13"/>
      <c r="B49" s="518" t="s">
        <v>39</v>
      </c>
      <c r="C49" s="15" t="s">
        <v>23</v>
      </c>
      <c r="D49" s="16">
        <f>+D35-D41</f>
        <v>0</v>
      </c>
      <c r="E49" s="16">
        <f t="shared" ref="E49:J49" si="15">+E35-E41</f>
        <v>0</v>
      </c>
      <c r="F49" s="16">
        <f t="shared" si="15"/>
        <v>0</v>
      </c>
      <c r="G49" s="16">
        <f t="shared" si="15"/>
        <v>0</v>
      </c>
      <c r="H49" s="16">
        <f t="shared" si="15"/>
        <v>0</v>
      </c>
      <c r="I49" s="16">
        <f t="shared" si="15"/>
        <v>0</v>
      </c>
      <c r="J49" s="16">
        <f t="shared" si="15"/>
        <v>0</v>
      </c>
      <c r="K49" s="16">
        <f t="shared" si="8"/>
        <v>0</v>
      </c>
      <c r="L49" s="17"/>
    </row>
    <row r="50" spans="1:12" x14ac:dyDescent="0.35">
      <c r="A50" s="13"/>
      <c r="B50" s="518" t="s">
        <v>40</v>
      </c>
      <c r="C50" s="15" t="s">
        <v>23</v>
      </c>
      <c r="D50" s="16">
        <f>+D43</f>
        <v>0</v>
      </c>
      <c r="E50" s="16">
        <f t="shared" ref="E50:J50" si="16">+E43</f>
        <v>0</v>
      </c>
      <c r="F50" s="16">
        <f t="shared" si="16"/>
        <v>0</v>
      </c>
      <c r="G50" s="16">
        <f t="shared" si="16"/>
        <v>0</v>
      </c>
      <c r="H50" s="16">
        <f t="shared" si="16"/>
        <v>0</v>
      </c>
      <c r="I50" s="16">
        <f t="shared" si="16"/>
        <v>0</v>
      </c>
      <c r="J50" s="16">
        <f t="shared" si="16"/>
        <v>0</v>
      </c>
      <c r="K50" s="16">
        <f t="shared" si="8"/>
        <v>0</v>
      </c>
      <c r="L50" s="17"/>
    </row>
    <row r="51" spans="1:12" x14ac:dyDescent="0.35">
      <c r="A51" s="512" t="s">
        <v>41</v>
      </c>
      <c r="B51" s="513" t="s">
        <v>68</v>
      </c>
      <c r="C51" s="514"/>
      <c r="D51" s="515"/>
      <c r="E51" s="515"/>
      <c r="F51" s="515"/>
      <c r="G51" s="515"/>
      <c r="H51" s="515"/>
      <c r="I51" s="515"/>
      <c r="J51" s="515"/>
      <c r="K51" s="516"/>
      <c r="L51" s="517"/>
    </row>
    <row r="52" spans="1:12" ht="81" x14ac:dyDescent="0.35">
      <c r="A52" s="13" t="s">
        <v>21</v>
      </c>
      <c r="B52" s="14" t="s">
        <v>22</v>
      </c>
      <c r="C52" s="15" t="s">
        <v>23</v>
      </c>
      <c r="D52" s="16">
        <f>SUM(D53:D57)</f>
        <v>0</v>
      </c>
      <c r="E52" s="16">
        <f t="shared" ref="E52:J52" si="17">SUM(E53:E57)</f>
        <v>0</v>
      </c>
      <c r="F52" s="16">
        <f t="shared" si="17"/>
        <v>0</v>
      </c>
      <c r="G52" s="16">
        <f t="shared" si="17"/>
        <v>0</v>
      </c>
      <c r="H52" s="16">
        <f t="shared" si="17"/>
        <v>0</v>
      </c>
      <c r="I52" s="16">
        <f t="shared" si="17"/>
        <v>0</v>
      </c>
      <c r="J52" s="16">
        <f t="shared" si="17"/>
        <v>0</v>
      </c>
      <c r="K52" s="16">
        <f t="shared" ref="K52:K72" si="18">SUM(D52:J52)</f>
        <v>0</v>
      </c>
      <c r="L52" s="17"/>
    </row>
    <row r="53" spans="1:12" x14ac:dyDescent="0.35">
      <c r="A53" s="13"/>
      <c r="B53" s="18" t="s">
        <v>24</v>
      </c>
      <c r="C53" s="15" t="s">
        <v>23</v>
      </c>
      <c r="D53" s="16"/>
      <c r="E53" s="16"/>
      <c r="F53" s="16"/>
      <c r="G53" s="16"/>
      <c r="H53" s="16"/>
      <c r="I53" s="16"/>
      <c r="J53" s="16"/>
      <c r="K53" s="16">
        <f t="shared" si="18"/>
        <v>0</v>
      </c>
      <c r="L53" s="17"/>
    </row>
    <row r="54" spans="1:12" x14ac:dyDescent="0.35">
      <c r="A54" s="13"/>
      <c r="B54" s="18" t="s">
        <v>25</v>
      </c>
      <c r="C54" s="15" t="s">
        <v>23</v>
      </c>
      <c r="D54" s="16"/>
      <c r="E54" s="16"/>
      <c r="F54" s="16"/>
      <c r="G54" s="16"/>
      <c r="H54" s="16"/>
      <c r="I54" s="16"/>
      <c r="J54" s="16"/>
      <c r="K54" s="16">
        <f t="shared" si="18"/>
        <v>0</v>
      </c>
      <c r="L54" s="17"/>
    </row>
    <row r="55" spans="1:12" x14ac:dyDescent="0.35">
      <c r="A55" s="13"/>
      <c r="B55" s="18" t="s">
        <v>37</v>
      </c>
      <c r="C55" s="15" t="s">
        <v>23</v>
      </c>
      <c r="D55" s="16"/>
      <c r="E55" s="16"/>
      <c r="F55" s="16"/>
      <c r="G55" s="16"/>
      <c r="H55" s="16"/>
      <c r="I55" s="16"/>
      <c r="J55" s="16"/>
      <c r="K55" s="16">
        <f t="shared" si="18"/>
        <v>0</v>
      </c>
      <c r="L55" s="17"/>
    </row>
    <row r="56" spans="1:12" x14ac:dyDescent="0.35">
      <c r="A56" s="13"/>
      <c r="B56" s="18" t="s">
        <v>38</v>
      </c>
      <c r="C56" s="15" t="s">
        <v>23</v>
      </c>
      <c r="D56" s="16"/>
      <c r="E56" s="16"/>
      <c r="F56" s="16"/>
      <c r="G56" s="16"/>
      <c r="H56" s="16"/>
      <c r="I56" s="16"/>
      <c r="J56" s="16"/>
      <c r="K56" s="16">
        <f t="shared" si="18"/>
        <v>0</v>
      </c>
      <c r="L56" s="17"/>
    </row>
    <row r="57" spans="1:12" x14ac:dyDescent="0.35">
      <c r="A57" s="13"/>
      <c r="B57" s="18" t="s">
        <v>39</v>
      </c>
      <c r="C57" s="15" t="s">
        <v>23</v>
      </c>
      <c r="D57" s="16"/>
      <c r="E57" s="16"/>
      <c r="F57" s="16"/>
      <c r="G57" s="16"/>
      <c r="H57" s="16"/>
      <c r="I57" s="16"/>
      <c r="J57" s="16"/>
      <c r="K57" s="16">
        <f t="shared" si="18"/>
        <v>0</v>
      </c>
      <c r="L57" s="17"/>
    </row>
    <row r="58" spans="1:12" ht="67.5" x14ac:dyDescent="0.35">
      <c r="A58" s="19" t="s">
        <v>30</v>
      </c>
      <c r="B58" s="14" t="s">
        <v>31</v>
      </c>
      <c r="C58" s="15"/>
      <c r="D58" s="16">
        <f>SUM(D59:D63)</f>
        <v>0</v>
      </c>
      <c r="E58" s="16">
        <f t="shared" ref="E58:J58" si="19">SUM(E59:E63)</f>
        <v>0</v>
      </c>
      <c r="F58" s="16">
        <f t="shared" si="19"/>
        <v>0</v>
      </c>
      <c r="G58" s="16">
        <f t="shared" si="19"/>
        <v>0</v>
      </c>
      <c r="H58" s="16">
        <f t="shared" si="19"/>
        <v>0</v>
      </c>
      <c r="I58" s="16">
        <f t="shared" si="19"/>
        <v>0</v>
      </c>
      <c r="J58" s="16">
        <f t="shared" si="19"/>
        <v>0</v>
      </c>
      <c r="K58" s="16">
        <f t="shared" si="18"/>
        <v>0</v>
      </c>
      <c r="L58" s="17"/>
    </row>
    <row r="59" spans="1:12" x14ac:dyDescent="0.35">
      <c r="A59" s="13"/>
      <c r="B59" s="18" t="s">
        <v>24</v>
      </c>
      <c r="C59" s="15" t="s">
        <v>23</v>
      </c>
      <c r="D59" s="16"/>
      <c r="E59" s="16"/>
      <c r="F59" s="16"/>
      <c r="G59" s="16"/>
      <c r="H59" s="16"/>
      <c r="I59" s="16"/>
      <c r="J59" s="16"/>
      <c r="K59" s="16">
        <f t="shared" si="18"/>
        <v>0</v>
      </c>
      <c r="L59" s="17"/>
    </row>
    <row r="60" spans="1:12" x14ac:dyDescent="0.35">
      <c r="A60" s="13"/>
      <c r="B60" s="18" t="s">
        <v>25</v>
      </c>
      <c r="C60" s="15" t="s">
        <v>23</v>
      </c>
      <c r="D60" s="16"/>
      <c r="E60" s="16"/>
      <c r="F60" s="16"/>
      <c r="G60" s="16"/>
      <c r="H60" s="16"/>
      <c r="I60" s="16"/>
      <c r="J60" s="16"/>
      <c r="K60" s="16">
        <f t="shared" si="18"/>
        <v>0</v>
      </c>
      <c r="L60" s="17"/>
    </row>
    <row r="61" spans="1:12" x14ac:dyDescent="0.35">
      <c r="A61" s="13"/>
      <c r="B61" s="18" t="s">
        <v>37</v>
      </c>
      <c r="C61" s="15" t="s">
        <v>23</v>
      </c>
      <c r="D61" s="16"/>
      <c r="E61" s="16"/>
      <c r="F61" s="16"/>
      <c r="G61" s="16"/>
      <c r="H61" s="16"/>
      <c r="I61" s="16"/>
      <c r="J61" s="16"/>
      <c r="K61" s="16">
        <f t="shared" si="18"/>
        <v>0</v>
      </c>
      <c r="L61" s="17"/>
    </row>
    <row r="62" spans="1:12" x14ac:dyDescent="0.35">
      <c r="A62" s="13"/>
      <c r="B62" s="18" t="s">
        <v>38</v>
      </c>
      <c r="C62" s="15" t="s">
        <v>23</v>
      </c>
      <c r="D62" s="16"/>
      <c r="E62" s="16"/>
      <c r="F62" s="16"/>
      <c r="G62" s="16"/>
      <c r="H62" s="16"/>
      <c r="I62" s="16"/>
      <c r="J62" s="16"/>
      <c r="K62" s="16">
        <f t="shared" si="18"/>
        <v>0</v>
      </c>
      <c r="L62" s="17"/>
    </row>
    <row r="63" spans="1:12" x14ac:dyDescent="0.35">
      <c r="A63" s="13"/>
      <c r="B63" s="18" t="s">
        <v>39</v>
      </c>
      <c r="C63" s="15" t="s">
        <v>23</v>
      </c>
      <c r="D63" s="16"/>
      <c r="E63" s="16"/>
      <c r="F63" s="16"/>
      <c r="G63" s="16"/>
      <c r="H63" s="16"/>
      <c r="I63" s="16"/>
      <c r="J63" s="16"/>
      <c r="K63" s="16">
        <f t="shared" si="18"/>
        <v>0</v>
      </c>
      <c r="L63" s="17"/>
    </row>
    <row r="64" spans="1:12" ht="54" x14ac:dyDescent="0.35">
      <c r="A64" s="19" t="s">
        <v>32</v>
      </c>
      <c r="B64" s="20" t="s">
        <v>33</v>
      </c>
      <c r="C64" s="15" t="s">
        <v>23</v>
      </c>
      <c r="D64" s="16"/>
      <c r="E64" s="16"/>
      <c r="F64" s="16"/>
      <c r="G64" s="16"/>
      <c r="H64" s="16"/>
      <c r="I64" s="16"/>
      <c r="J64" s="16"/>
      <c r="K64" s="16">
        <f t="shared" si="18"/>
        <v>0</v>
      </c>
      <c r="L64" s="17"/>
    </row>
    <row r="65" spans="1:12" x14ac:dyDescent="0.35">
      <c r="A65" s="19"/>
      <c r="B65" s="18" t="s">
        <v>40</v>
      </c>
      <c r="C65" s="15"/>
      <c r="D65" s="16"/>
      <c r="E65" s="16"/>
      <c r="F65" s="16"/>
      <c r="G65" s="16"/>
      <c r="H65" s="16"/>
      <c r="I65" s="16"/>
      <c r="J65" s="16"/>
      <c r="K65" s="16">
        <f t="shared" si="18"/>
        <v>0</v>
      </c>
      <c r="L65" s="17"/>
    </row>
    <row r="66" spans="1:12" ht="81" x14ac:dyDescent="0.35">
      <c r="A66" s="19" t="s">
        <v>35</v>
      </c>
      <c r="B66" s="14" t="s">
        <v>36</v>
      </c>
      <c r="C66" s="21" t="s">
        <v>23</v>
      </c>
      <c r="D66" s="22">
        <f>SUM(D67:D72)</f>
        <v>0</v>
      </c>
      <c r="E66" s="22">
        <f t="shared" ref="E66:J66" si="20">SUM(E67:E72)</f>
        <v>0</v>
      </c>
      <c r="F66" s="22">
        <f t="shared" si="20"/>
        <v>0</v>
      </c>
      <c r="G66" s="22">
        <f t="shared" si="20"/>
        <v>0</v>
      </c>
      <c r="H66" s="22">
        <f t="shared" si="20"/>
        <v>0</v>
      </c>
      <c r="I66" s="22">
        <f t="shared" si="20"/>
        <v>0</v>
      </c>
      <c r="J66" s="22">
        <f t="shared" si="20"/>
        <v>0</v>
      </c>
      <c r="K66" s="22">
        <f t="shared" si="18"/>
        <v>0</v>
      </c>
      <c r="L66" s="23"/>
    </row>
    <row r="67" spans="1:12" x14ac:dyDescent="0.35">
      <c r="A67" s="13"/>
      <c r="B67" s="18" t="s">
        <v>24</v>
      </c>
      <c r="C67" s="15" t="s">
        <v>23</v>
      </c>
      <c r="D67" s="16">
        <f>D53-D59</f>
        <v>0</v>
      </c>
      <c r="E67" s="16">
        <f t="shared" ref="E67:J67" si="21">E53-E59</f>
        <v>0</v>
      </c>
      <c r="F67" s="16">
        <f t="shared" si="21"/>
        <v>0</v>
      </c>
      <c r="G67" s="16">
        <f t="shared" si="21"/>
        <v>0</v>
      </c>
      <c r="H67" s="16">
        <f t="shared" si="21"/>
        <v>0</v>
      </c>
      <c r="I67" s="16">
        <f t="shared" si="21"/>
        <v>0</v>
      </c>
      <c r="J67" s="16">
        <f t="shared" si="21"/>
        <v>0</v>
      </c>
      <c r="K67" s="16">
        <f t="shared" si="18"/>
        <v>0</v>
      </c>
      <c r="L67" s="17"/>
    </row>
    <row r="68" spans="1:12" x14ac:dyDescent="0.35">
      <c r="A68" s="13"/>
      <c r="B68" s="18" t="s">
        <v>25</v>
      </c>
      <c r="C68" s="15" t="s">
        <v>23</v>
      </c>
      <c r="D68" s="16">
        <f>+D54-D60</f>
        <v>0</v>
      </c>
      <c r="E68" s="16">
        <f t="shared" ref="E68:J71" si="22">+E54-E60</f>
        <v>0</v>
      </c>
      <c r="F68" s="16">
        <f t="shared" si="22"/>
        <v>0</v>
      </c>
      <c r="G68" s="16">
        <f t="shared" si="22"/>
        <v>0</v>
      </c>
      <c r="H68" s="16">
        <f t="shared" si="22"/>
        <v>0</v>
      </c>
      <c r="I68" s="16">
        <f t="shared" si="22"/>
        <v>0</v>
      </c>
      <c r="J68" s="16">
        <f t="shared" si="22"/>
        <v>0</v>
      </c>
      <c r="K68" s="16">
        <f t="shared" si="18"/>
        <v>0</v>
      </c>
      <c r="L68" s="17"/>
    </row>
    <row r="69" spans="1:12" x14ac:dyDescent="0.35">
      <c r="A69" s="13"/>
      <c r="B69" s="18" t="s">
        <v>37</v>
      </c>
      <c r="C69" s="15" t="s">
        <v>23</v>
      </c>
      <c r="D69" s="16">
        <f>+D55-D61</f>
        <v>0</v>
      </c>
      <c r="E69" s="16">
        <f t="shared" si="22"/>
        <v>0</v>
      </c>
      <c r="F69" s="16">
        <f t="shared" si="22"/>
        <v>0</v>
      </c>
      <c r="G69" s="16">
        <f t="shared" si="22"/>
        <v>0</v>
      </c>
      <c r="H69" s="16">
        <f t="shared" si="22"/>
        <v>0</v>
      </c>
      <c r="I69" s="16">
        <f t="shared" si="22"/>
        <v>0</v>
      </c>
      <c r="J69" s="16">
        <f t="shared" si="22"/>
        <v>0</v>
      </c>
      <c r="K69" s="16">
        <f t="shared" si="18"/>
        <v>0</v>
      </c>
      <c r="L69" s="17"/>
    </row>
    <row r="70" spans="1:12" x14ac:dyDescent="0.35">
      <c r="A70" s="13"/>
      <c r="B70" s="18" t="s">
        <v>38</v>
      </c>
      <c r="C70" s="15" t="s">
        <v>23</v>
      </c>
      <c r="D70" s="16">
        <f>+D56-D62</f>
        <v>0</v>
      </c>
      <c r="E70" s="16">
        <f t="shared" si="22"/>
        <v>0</v>
      </c>
      <c r="F70" s="16">
        <f t="shared" si="22"/>
        <v>0</v>
      </c>
      <c r="G70" s="16">
        <f t="shared" si="22"/>
        <v>0</v>
      </c>
      <c r="H70" s="16">
        <f t="shared" si="22"/>
        <v>0</v>
      </c>
      <c r="I70" s="16">
        <f t="shared" si="22"/>
        <v>0</v>
      </c>
      <c r="J70" s="16">
        <f t="shared" si="22"/>
        <v>0</v>
      </c>
      <c r="K70" s="16">
        <f t="shared" si="18"/>
        <v>0</v>
      </c>
      <c r="L70" s="17"/>
    </row>
    <row r="71" spans="1:12" x14ac:dyDescent="0.35">
      <c r="A71" s="13"/>
      <c r="B71" s="18" t="s">
        <v>39</v>
      </c>
      <c r="C71" s="15" t="s">
        <v>23</v>
      </c>
      <c r="D71" s="16">
        <f>+D57-D63</f>
        <v>0</v>
      </c>
      <c r="E71" s="16">
        <f t="shared" si="22"/>
        <v>0</v>
      </c>
      <c r="F71" s="16">
        <f t="shared" si="22"/>
        <v>0</v>
      </c>
      <c r="G71" s="16">
        <f t="shared" si="22"/>
        <v>0</v>
      </c>
      <c r="H71" s="16">
        <f t="shared" si="22"/>
        <v>0</v>
      </c>
      <c r="I71" s="16">
        <f t="shared" si="22"/>
        <v>0</v>
      </c>
      <c r="J71" s="16">
        <f t="shared" si="22"/>
        <v>0</v>
      </c>
      <c r="K71" s="16">
        <f t="shared" si="18"/>
        <v>0</v>
      </c>
      <c r="L71" s="17"/>
    </row>
    <row r="72" spans="1:12" ht="15" thickBot="1" x14ac:dyDescent="0.4">
      <c r="A72" s="13"/>
      <c r="B72" s="18" t="s">
        <v>40</v>
      </c>
      <c r="C72" s="15" t="s">
        <v>23</v>
      </c>
      <c r="D72" s="16">
        <f>+D65</f>
        <v>0</v>
      </c>
      <c r="E72" s="16">
        <f t="shared" ref="E72:J72" si="23">+E65</f>
        <v>0</v>
      </c>
      <c r="F72" s="16">
        <f t="shared" si="23"/>
        <v>0</v>
      </c>
      <c r="G72" s="16">
        <f t="shared" si="23"/>
        <v>0</v>
      </c>
      <c r="H72" s="16">
        <f t="shared" si="23"/>
        <v>0</v>
      </c>
      <c r="I72" s="16">
        <f t="shared" si="23"/>
        <v>0</v>
      </c>
      <c r="J72" s="16">
        <f t="shared" si="23"/>
        <v>0</v>
      </c>
      <c r="K72" s="16">
        <f t="shared" si="18"/>
        <v>0</v>
      </c>
      <c r="L72" s="17"/>
    </row>
    <row r="73" spans="1:12" ht="15" thickTop="1" x14ac:dyDescent="0.35">
      <c r="A73" s="29"/>
      <c r="B73" s="1"/>
      <c r="C73" s="1"/>
      <c r="D73" s="1"/>
      <c r="E73" s="1"/>
      <c r="F73" s="1"/>
      <c r="G73" s="1"/>
      <c r="H73" s="1"/>
      <c r="I73" s="1"/>
      <c r="J73" s="826"/>
      <c r="K73" s="826"/>
      <c r="L73" s="826"/>
    </row>
    <row r="74" spans="1:12" x14ac:dyDescent="0.35">
      <c r="A74" s="30"/>
      <c r="B74" s="31"/>
      <c r="C74" s="32"/>
      <c r="D74" s="32"/>
      <c r="E74" s="32"/>
      <c r="F74" s="32"/>
      <c r="G74" s="32"/>
      <c r="H74" s="32"/>
      <c r="I74" s="32"/>
      <c r="J74" s="827" t="s">
        <v>42</v>
      </c>
      <c r="K74" s="827"/>
      <c r="L74" s="827"/>
    </row>
    <row r="75" spans="1:12" ht="15.5" x14ac:dyDescent="0.35">
      <c r="A75" s="820"/>
      <c r="B75" s="821"/>
      <c r="C75" s="821"/>
      <c r="D75" s="33"/>
      <c r="E75" s="33"/>
      <c r="F75" s="33"/>
      <c r="G75" s="33"/>
      <c r="H75" s="33"/>
      <c r="I75" s="33"/>
      <c r="J75" s="814" t="s">
        <v>43</v>
      </c>
      <c r="K75" s="814"/>
      <c r="L75" s="814"/>
    </row>
    <row r="76" spans="1:12" x14ac:dyDescent="0.35">
      <c r="A76" s="47"/>
      <c r="B76" s="47"/>
      <c r="C76" s="47"/>
      <c r="D76" s="47"/>
      <c r="E76" s="47"/>
      <c r="F76" s="47"/>
      <c r="G76" s="47"/>
      <c r="H76" s="47"/>
      <c r="I76" s="47"/>
      <c r="J76" s="47"/>
      <c r="K76" s="47"/>
      <c r="L76" s="47"/>
    </row>
    <row r="77" spans="1:12" x14ac:dyDescent="0.35">
      <c r="A77" s="47"/>
      <c r="B77" s="47"/>
      <c r="C77" s="47"/>
      <c r="D77" s="47"/>
      <c r="E77" s="47"/>
      <c r="F77" s="47"/>
      <c r="G77" s="47"/>
      <c r="H77" s="47"/>
      <c r="I77" s="47"/>
      <c r="J77" s="47"/>
      <c r="K77" s="47"/>
      <c r="L77" s="47"/>
    </row>
    <row r="78" spans="1:12" x14ac:dyDescent="0.35">
      <c r="A78" s="48" t="s">
        <v>65</v>
      </c>
      <c r="B78" s="49"/>
      <c r="C78" s="49"/>
      <c r="D78" s="49"/>
      <c r="E78" s="49"/>
      <c r="F78" s="49"/>
      <c r="G78" s="49"/>
      <c r="H78" s="49"/>
      <c r="I78" s="49"/>
      <c r="J78" s="49"/>
      <c r="K78" s="49"/>
      <c r="L78" s="49"/>
    </row>
  </sheetData>
  <mergeCells count="8">
    <mergeCell ref="A75:C75"/>
    <mergeCell ref="J75:L75"/>
    <mergeCell ref="A1:B1"/>
    <mergeCell ref="K1:L1"/>
    <mergeCell ref="A2:B2"/>
    <mergeCell ref="A3:L3"/>
    <mergeCell ref="J73:L73"/>
    <mergeCell ref="J74:L74"/>
  </mergeCells>
  <pageMargins left="0.48" right="0.2" top="0.75" bottom="0.28000000000000003" header="0.3" footer="0.3"/>
  <pageSetup paperSize="9" scale="84" fitToHeight="0"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FB392-0D9E-40EF-8EF5-A3E1B9FBCF62}">
  <sheetPr>
    <tabColor rgb="FF0070C0"/>
    <pageSetUpPr fitToPage="1"/>
  </sheetPr>
  <dimension ref="A1:W136"/>
  <sheetViews>
    <sheetView topLeftCell="A4" zoomScale="70" zoomScaleNormal="70" workbookViewId="0">
      <pane xSplit="3" ySplit="6" topLeftCell="D36" activePane="bottomRight" state="frozen"/>
      <selection activeCell="A4" sqref="A4"/>
      <selection pane="topRight" activeCell="D4" sqref="D4"/>
      <selection pane="bottomLeft" activeCell="A10" sqref="A10"/>
      <selection pane="bottomRight" activeCell="D29" sqref="D29"/>
    </sheetView>
  </sheetViews>
  <sheetFormatPr defaultRowHeight="14.5" x14ac:dyDescent="0.35"/>
  <cols>
    <col min="1" max="1" width="4.90625" style="56" customWidth="1"/>
    <col min="2" max="2" width="39.36328125" style="56" customWidth="1"/>
    <col min="3" max="3" width="6.08984375" style="57" customWidth="1"/>
    <col min="4" max="4" width="22" style="786" customWidth="1"/>
    <col min="5" max="5" width="11.6328125" style="786" customWidth="1"/>
    <col min="6" max="7" width="14.6328125" style="792" customWidth="1"/>
    <col min="8" max="8" width="15.08984375" style="792" customWidth="1"/>
    <col min="9" max="9" width="12.90625" style="57" customWidth="1"/>
    <col min="10" max="10" width="13.7265625" style="57" customWidth="1"/>
    <col min="11" max="11" width="8.36328125" style="57" customWidth="1"/>
    <col min="12" max="12" width="6.90625" style="57" customWidth="1"/>
    <col min="13" max="15" width="6.7265625" style="57" customWidth="1"/>
    <col min="16" max="16" width="5.90625" style="57" customWidth="1"/>
    <col min="17" max="17" width="6.08984375" style="57" customWidth="1"/>
    <col min="18" max="18" width="11.08984375" customWidth="1"/>
  </cols>
  <sheetData>
    <row r="1" spans="1:23" ht="14.25" customHeight="1" x14ac:dyDescent="0.35">
      <c r="A1" s="823" t="s">
        <v>0</v>
      </c>
      <c r="B1" s="823"/>
      <c r="C1" s="823"/>
      <c r="D1" s="753"/>
      <c r="E1" s="753"/>
      <c r="F1" s="751"/>
      <c r="G1" s="751"/>
      <c r="H1" s="751"/>
      <c r="I1" s="1"/>
      <c r="J1" s="844"/>
      <c r="K1" s="844"/>
      <c r="L1" s="844"/>
      <c r="M1" s="844"/>
      <c r="N1" s="844"/>
      <c r="O1" s="844"/>
      <c r="P1" s="59"/>
      <c r="Q1" s="59"/>
      <c r="R1" s="60" t="s">
        <v>71</v>
      </c>
      <c r="S1" s="2"/>
      <c r="T1" s="34"/>
      <c r="U1" s="34"/>
      <c r="V1" s="34"/>
      <c r="W1" s="34"/>
    </row>
    <row r="2" spans="1:23" x14ac:dyDescent="0.35">
      <c r="A2" s="825" t="s">
        <v>72</v>
      </c>
      <c r="B2" s="825"/>
      <c r="C2" s="825"/>
      <c r="D2" s="754"/>
      <c r="E2" s="754"/>
      <c r="F2" s="752"/>
      <c r="G2" s="752"/>
      <c r="H2" s="752"/>
      <c r="I2" s="1"/>
      <c r="J2" s="844"/>
      <c r="K2" s="844"/>
      <c r="L2" s="844"/>
      <c r="M2" s="844"/>
      <c r="N2" s="844"/>
      <c r="O2" s="844"/>
      <c r="P2" s="59"/>
      <c r="Q2" s="59"/>
      <c r="R2" s="59"/>
      <c r="S2" s="2"/>
      <c r="T2" s="34"/>
      <c r="U2" s="34"/>
      <c r="V2" s="34"/>
      <c r="W2" s="34"/>
    </row>
    <row r="3" spans="1:23" ht="30" customHeight="1" x14ac:dyDescent="0.35">
      <c r="A3" s="818" t="s">
        <v>639</v>
      </c>
      <c r="B3" s="818"/>
      <c r="C3" s="818"/>
      <c r="D3" s="818"/>
      <c r="E3" s="818"/>
      <c r="F3" s="818"/>
      <c r="G3" s="818"/>
      <c r="H3" s="818"/>
      <c r="I3" s="818"/>
      <c r="J3" s="818"/>
      <c r="K3" s="818"/>
      <c r="L3" s="818"/>
      <c r="M3" s="818"/>
      <c r="N3" s="818"/>
      <c r="O3" s="818"/>
      <c r="P3" s="818"/>
      <c r="Q3" s="818"/>
      <c r="R3" s="818"/>
      <c r="S3" s="2"/>
      <c r="T3" s="34"/>
      <c r="U3" s="34"/>
      <c r="V3" s="34"/>
      <c r="W3" s="34"/>
    </row>
    <row r="4" spans="1:23" ht="30" customHeight="1" x14ac:dyDescent="0.35">
      <c r="A4" s="845" t="s">
        <v>640</v>
      </c>
      <c r="B4" s="845"/>
      <c r="C4" s="845"/>
      <c r="D4" s="845"/>
      <c r="E4" s="845"/>
      <c r="F4" s="845"/>
      <c r="G4" s="845"/>
      <c r="H4" s="845"/>
      <c r="I4" s="845"/>
      <c r="J4" s="845"/>
      <c r="K4" s="845"/>
      <c r="L4" s="845"/>
      <c r="M4" s="845"/>
      <c r="N4" s="845"/>
      <c r="O4" s="845"/>
      <c r="P4" s="845"/>
      <c r="Q4" s="845"/>
      <c r="R4" s="845"/>
      <c r="S4" s="2"/>
      <c r="T4" s="34"/>
      <c r="U4" s="34"/>
      <c r="V4" s="34"/>
      <c r="W4" s="34"/>
    </row>
    <row r="5" spans="1:23" ht="30" customHeight="1" x14ac:dyDescent="0.35">
      <c r="A5" s="843" t="s">
        <v>73</v>
      </c>
      <c r="B5" s="843"/>
      <c r="C5" s="843"/>
      <c r="D5" s="843"/>
      <c r="E5" s="843"/>
      <c r="F5" s="843"/>
      <c r="G5" s="843"/>
      <c r="H5" s="843"/>
      <c r="I5" s="843"/>
      <c r="J5" s="843"/>
      <c r="K5" s="843"/>
      <c r="L5" s="843"/>
      <c r="M5" s="843"/>
      <c r="N5" s="843"/>
      <c r="O5" s="843"/>
      <c r="P5" s="843"/>
      <c r="Q5" s="843"/>
      <c r="R5" s="843"/>
      <c r="S5" s="2"/>
      <c r="T5" s="34"/>
      <c r="U5" s="34"/>
      <c r="V5" s="34"/>
      <c r="W5" s="34"/>
    </row>
    <row r="6" spans="1:23" ht="15" thickBot="1" x14ac:dyDescent="0.4">
      <c r="A6" s="3"/>
      <c r="B6" s="3"/>
      <c r="C6" s="3"/>
      <c r="D6" s="62"/>
      <c r="E6" s="62"/>
      <c r="F6" s="198"/>
      <c r="G6" s="198"/>
      <c r="H6" s="198"/>
      <c r="I6" s="3"/>
      <c r="J6" s="3"/>
      <c r="K6" s="3"/>
      <c r="L6" s="3"/>
      <c r="M6" s="3"/>
      <c r="N6" s="3"/>
      <c r="O6" s="3" t="s">
        <v>74</v>
      </c>
      <c r="P6" s="3"/>
      <c r="Q6" s="3"/>
      <c r="R6" s="62"/>
      <c r="S6" s="2"/>
      <c r="T6" s="34"/>
      <c r="U6" s="34"/>
      <c r="V6" s="34"/>
      <c r="W6" s="34"/>
    </row>
    <row r="7" spans="1:23" s="63" customFormat="1" ht="122.25" customHeight="1" thickTop="1" x14ac:dyDescent="0.3">
      <c r="A7" s="841" t="s">
        <v>5</v>
      </c>
      <c r="B7" s="829" t="s">
        <v>75</v>
      </c>
      <c r="C7" s="829" t="s">
        <v>76</v>
      </c>
      <c r="D7" s="829" t="s">
        <v>641</v>
      </c>
      <c r="E7" s="829" t="s">
        <v>77</v>
      </c>
      <c r="F7" s="829" t="s">
        <v>509</v>
      </c>
      <c r="G7" s="829" t="s">
        <v>510</v>
      </c>
      <c r="H7" s="839" t="s">
        <v>319</v>
      </c>
      <c r="I7" s="829" t="s">
        <v>78</v>
      </c>
      <c r="J7" s="836" t="s">
        <v>79</v>
      </c>
      <c r="K7" s="837"/>
      <c r="L7" s="838"/>
      <c r="M7" s="829" t="s">
        <v>80</v>
      </c>
      <c r="N7" s="829" t="s">
        <v>81</v>
      </c>
      <c r="O7" s="829" t="s">
        <v>82</v>
      </c>
      <c r="P7" s="829" t="s">
        <v>83</v>
      </c>
      <c r="Q7" s="829" t="s">
        <v>84</v>
      </c>
      <c r="R7" s="831" t="s">
        <v>16</v>
      </c>
      <c r="S7" s="2"/>
      <c r="T7" s="34"/>
      <c r="U7" s="34"/>
      <c r="V7" s="34"/>
      <c r="W7" s="34"/>
    </row>
    <row r="8" spans="1:23" s="63" customFormat="1" ht="55.5" customHeight="1" x14ac:dyDescent="0.3">
      <c r="A8" s="842"/>
      <c r="B8" s="830"/>
      <c r="C8" s="830"/>
      <c r="D8" s="830"/>
      <c r="E8" s="830"/>
      <c r="F8" s="830"/>
      <c r="G8" s="830"/>
      <c r="H8" s="840"/>
      <c r="I8" s="830"/>
      <c r="J8" s="279" t="s">
        <v>85</v>
      </c>
      <c r="K8" s="279" t="s">
        <v>86</v>
      </c>
      <c r="L8" s="279" t="s">
        <v>87</v>
      </c>
      <c r="M8" s="830"/>
      <c r="N8" s="830"/>
      <c r="O8" s="830"/>
      <c r="P8" s="830"/>
      <c r="Q8" s="830"/>
      <c r="R8" s="832"/>
      <c r="S8" s="2"/>
      <c r="T8" s="34"/>
      <c r="U8" s="34"/>
      <c r="V8" s="34"/>
      <c r="W8" s="34"/>
    </row>
    <row r="9" spans="1:23" s="66" customFormat="1" ht="30" customHeight="1" x14ac:dyDescent="0.3">
      <c r="A9" s="145" t="s">
        <v>88</v>
      </c>
      <c r="B9" s="146" t="s">
        <v>89</v>
      </c>
      <c r="C9" s="146" t="s">
        <v>90</v>
      </c>
      <c r="D9" s="147" t="s">
        <v>91</v>
      </c>
      <c r="E9" s="147" t="s">
        <v>92</v>
      </c>
      <c r="F9" s="147" t="s">
        <v>152</v>
      </c>
      <c r="G9" s="147" t="s">
        <v>93</v>
      </c>
      <c r="H9" s="750" t="s">
        <v>808</v>
      </c>
      <c r="I9" s="280" t="s">
        <v>512</v>
      </c>
      <c r="J9" s="147" t="s">
        <v>94</v>
      </c>
      <c r="K9" s="147" t="s">
        <v>95</v>
      </c>
      <c r="L9" s="147" t="s">
        <v>96</v>
      </c>
      <c r="M9" s="147" t="s">
        <v>97</v>
      </c>
      <c r="N9" s="147" t="s">
        <v>98</v>
      </c>
      <c r="O9" s="147" t="s">
        <v>99</v>
      </c>
      <c r="P9" s="147" t="s">
        <v>100</v>
      </c>
      <c r="Q9" s="149" t="s">
        <v>101</v>
      </c>
      <c r="R9" s="149" t="s">
        <v>511</v>
      </c>
      <c r="S9" s="64"/>
      <c r="T9" s="65"/>
      <c r="U9" s="65"/>
      <c r="V9" s="65"/>
      <c r="W9" s="65"/>
    </row>
    <row r="10" spans="1:23" s="63" customFormat="1" ht="17.25" customHeight="1" x14ac:dyDescent="0.3">
      <c r="A10" s="67" t="s">
        <v>17</v>
      </c>
      <c r="B10" s="524" t="s">
        <v>756</v>
      </c>
      <c r="C10" s="69"/>
      <c r="D10" s="777"/>
      <c r="E10" s="777"/>
      <c r="F10" s="777"/>
      <c r="G10" s="777"/>
      <c r="H10" s="777"/>
      <c r="I10" s="69"/>
      <c r="J10" s="69"/>
      <c r="K10" s="69"/>
      <c r="L10" s="69"/>
      <c r="M10" s="69"/>
      <c r="N10" s="69"/>
      <c r="O10" s="69"/>
      <c r="P10" s="69"/>
      <c r="Q10" s="69"/>
      <c r="R10" s="70"/>
      <c r="S10" s="2"/>
      <c r="T10" s="34"/>
      <c r="U10" s="34"/>
      <c r="V10" s="34"/>
      <c r="W10" s="34"/>
    </row>
    <row r="11" spans="1:23" s="63" customFormat="1" ht="31" customHeight="1" x14ac:dyDescent="0.3">
      <c r="A11" s="71" t="s">
        <v>19</v>
      </c>
      <c r="B11" s="72" t="s">
        <v>102</v>
      </c>
      <c r="C11" s="73"/>
      <c r="D11" s="778"/>
      <c r="E11" s="778"/>
      <c r="F11" s="778"/>
      <c r="G11" s="778"/>
      <c r="H11" s="778"/>
      <c r="I11" s="73"/>
      <c r="J11" s="73"/>
      <c r="K11" s="73"/>
      <c r="L11" s="73"/>
      <c r="M11" s="73"/>
      <c r="N11" s="73"/>
      <c r="O11" s="73"/>
      <c r="P11" s="73"/>
      <c r="Q11" s="73"/>
      <c r="R11" s="74"/>
      <c r="S11" s="2"/>
      <c r="T11" s="34"/>
      <c r="U11" s="34"/>
      <c r="V11" s="34"/>
      <c r="W11" s="34"/>
    </row>
    <row r="12" spans="1:23" s="63" customFormat="1" ht="17.25" customHeight="1" x14ac:dyDescent="0.3">
      <c r="A12" s="75">
        <v>1</v>
      </c>
      <c r="B12" s="76" t="s">
        <v>20</v>
      </c>
      <c r="C12" s="77"/>
      <c r="D12" s="779"/>
      <c r="E12" s="779"/>
      <c r="F12" s="779"/>
      <c r="G12" s="779"/>
      <c r="H12" s="779"/>
      <c r="I12" s="77"/>
      <c r="J12" s="77"/>
      <c r="K12" s="77"/>
      <c r="L12" s="77"/>
      <c r="M12" s="77"/>
      <c r="N12" s="77"/>
      <c r="O12" s="77"/>
      <c r="P12" s="77"/>
      <c r="Q12" s="77"/>
      <c r="R12" s="78"/>
      <c r="S12" s="2"/>
      <c r="T12" s="34"/>
      <c r="U12" s="34"/>
      <c r="V12" s="34"/>
      <c r="W12" s="34"/>
    </row>
    <row r="13" spans="1:23" s="63" customFormat="1" ht="17.25" customHeight="1" x14ac:dyDescent="0.3">
      <c r="A13" s="771">
        <v>1.1000000000000001</v>
      </c>
      <c r="B13" s="76" t="s">
        <v>826</v>
      </c>
      <c r="C13" s="77"/>
      <c r="D13" s="779"/>
      <c r="E13" s="779"/>
      <c r="F13" s="779"/>
      <c r="G13" s="779"/>
      <c r="H13" s="779"/>
      <c r="I13" s="77"/>
      <c r="J13" s="77"/>
      <c r="K13" s="77"/>
      <c r="L13" s="77"/>
      <c r="M13" s="77"/>
      <c r="N13" s="77"/>
      <c r="O13" s="77"/>
      <c r="P13" s="77"/>
      <c r="Q13" s="77"/>
      <c r="R13" s="78"/>
      <c r="S13" s="2"/>
      <c r="T13" s="34"/>
      <c r="U13" s="34"/>
      <c r="V13" s="34"/>
      <c r="W13" s="34"/>
    </row>
    <row r="14" spans="1:23" s="87" customFormat="1" ht="15.75" customHeight="1" x14ac:dyDescent="0.35">
      <c r="A14" s="79" t="s">
        <v>103</v>
      </c>
      <c r="B14" s="80" t="s">
        <v>104</v>
      </c>
      <c r="C14" s="81"/>
      <c r="D14" s="82"/>
      <c r="E14" s="82"/>
      <c r="F14" s="82"/>
      <c r="G14" s="82"/>
      <c r="H14" s="82"/>
      <c r="I14" s="82"/>
      <c r="J14" s="83"/>
      <c r="K14" s="83"/>
      <c r="L14" s="83"/>
      <c r="M14" s="83"/>
      <c r="N14" s="83"/>
      <c r="O14" s="83"/>
      <c r="P14" s="83"/>
      <c r="Q14" s="83"/>
      <c r="R14" s="84"/>
      <c r="S14" s="85"/>
      <c r="T14" s="86"/>
      <c r="U14" s="86"/>
      <c r="V14" s="86"/>
      <c r="W14" s="86"/>
    </row>
    <row r="15" spans="1:23" s="87" customFormat="1" ht="13" x14ac:dyDescent="0.35">
      <c r="A15" s="734" t="s">
        <v>105</v>
      </c>
      <c r="B15" s="735" t="s">
        <v>757</v>
      </c>
      <c r="C15" s="89">
        <v>3</v>
      </c>
      <c r="D15" s="780">
        <f>2+1*1.4</f>
        <v>3.4</v>
      </c>
      <c r="E15" s="780">
        <v>18</v>
      </c>
      <c r="F15" s="780">
        <v>1.3</v>
      </c>
      <c r="G15" s="780">
        <v>70</v>
      </c>
      <c r="H15" s="780">
        <f>C15*D15*G15</f>
        <v>714</v>
      </c>
      <c r="I15" s="82">
        <f>C15*E15*F15*16.5</f>
        <v>1158.3</v>
      </c>
      <c r="J15" s="83">
        <f>I15</f>
        <v>1158.3</v>
      </c>
      <c r="K15" s="83"/>
      <c r="L15" s="83"/>
      <c r="M15" s="83"/>
      <c r="N15" s="83"/>
      <c r="O15" s="83"/>
      <c r="P15" s="83"/>
      <c r="Q15" s="83"/>
      <c r="R15" s="84"/>
      <c r="S15" s="85"/>
      <c r="T15" s="86"/>
      <c r="U15" s="86"/>
      <c r="V15" s="86"/>
      <c r="W15" s="86"/>
    </row>
    <row r="16" spans="1:23" s="87" customFormat="1" ht="15.75" customHeight="1" x14ac:dyDescent="0.35">
      <c r="A16" s="734" t="s">
        <v>107</v>
      </c>
      <c r="B16" s="735" t="s">
        <v>759</v>
      </c>
      <c r="C16" s="89">
        <v>4</v>
      </c>
      <c r="D16" s="780">
        <v>4</v>
      </c>
      <c r="E16" s="780">
        <v>18</v>
      </c>
      <c r="F16" s="780">
        <v>1.3</v>
      </c>
      <c r="G16" s="780">
        <v>70</v>
      </c>
      <c r="H16" s="780">
        <f t="shared" ref="H16:H58" si="0">C16*D16*G16</f>
        <v>1120</v>
      </c>
      <c r="I16" s="82">
        <f t="shared" ref="I16:I58" si="1">C16*E16*F16*16.5</f>
        <v>1544.4</v>
      </c>
      <c r="J16" s="83">
        <f t="shared" ref="J16:J58" si="2">I16</f>
        <v>1544.4</v>
      </c>
      <c r="K16" s="83"/>
      <c r="L16" s="83"/>
      <c r="M16" s="83"/>
      <c r="N16" s="83"/>
      <c r="O16" s="83"/>
      <c r="P16" s="83"/>
      <c r="Q16" s="83"/>
      <c r="R16" s="84"/>
      <c r="S16" s="85"/>
      <c r="T16" s="86"/>
      <c r="U16" s="86"/>
      <c r="V16" s="86"/>
      <c r="W16" s="86"/>
    </row>
    <row r="17" spans="1:23" s="87" customFormat="1" ht="15.75" customHeight="1" x14ac:dyDescent="0.35">
      <c r="A17" s="734" t="s">
        <v>108</v>
      </c>
      <c r="B17" s="735" t="s">
        <v>761</v>
      </c>
      <c r="C17" s="89">
        <v>3</v>
      </c>
      <c r="D17" s="780">
        <v>3</v>
      </c>
      <c r="E17" s="780">
        <v>14</v>
      </c>
      <c r="F17" s="780">
        <v>1.3</v>
      </c>
      <c r="G17" s="780">
        <v>70</v>
      </c>
      <c r="H17" s="780">
        <f t="shared" si="0"/>
        <v>630</v>
      </c>
      <c r="I17" s="82">
        <f t="shared" si="1"/>
        <v>900.9</v>
      </c>
      <c r="J17" s="83">
        <f t="shared" si="2"/>
        <v>900.9</v>
      </c>
      <c r="K17" s="90"/>
      <c r="L17" s="90"/>
      <c r="M17" s="90"/>
      <c r="N17" s="90"/>
      <c r="O17" s="90"/>
      <c r="P17" s="90"/>
      <c r="Q17" s="90"/>
      <c r="R17" s="91"/>
      <c r="S17" s="85"/>
      <c r="T17" s="86"/>
      <c r="U17" s="86"/>
      <c r="V17" s="86"/>
      <c r="W17" s="86"/>
    </row>
    <row r="18" spans="1:23" s="87" customFormat="1" ht="15.75" customHeight="1" x14ac:dyDescent="0.35">
      <c r="A18" s="734" t="s">
        <v>109</v>
      </c>
      <c r="B18" s="738" t="s">
        <v>771</v>
      </c>
      <c r="C18" s="89">
        <v>4</v>
      </c>
      <c r="D18" s="780">
        <v>4</v>
      </c>
      <c r="E18" s="780">
        <v>2</v>
      </c>
      <c r="F18" s="780">
        <v>1</v>
      </c>
      <c r="G18" s="780">
        <v>30</v>
      </c>
      <c r="H18" s="780">
        <f t="shared" ref="H18:H23" si="3">C18*D18*G18</f>
        <v>480</v>
      </c>
      <c r="I18" s="82">
        <f t="shared" ref="I18:I23" si="4">C18*E18*F18*16.5</f>
        <v>132</v>
      </c>
      <c r="J18" s="83">
        <f t="shared" si="2"/>
        <v>132</v>
      </c>
      <c r="K18" s="90"/>
      <c r="L18" s="90"/>
      <c r="M18" s="90"/>
      <c r="N18" s="90"/>
      <c r="O18" s="90"/>
      <c r="P18" s="90"/>
      <c r="Q18" s="90"/>
      <c r="R18" s="91"/>
      <c r="S18" s="85"/>
      <c r="T18" s="86"/>
      <c r="U18" s="86"/>
      <c r="V18" s="86"/>
      <c r="W18" s="86"/>
    </row>
    <row r="19" spans="1:23" s="87" customFormat="1" ht="15.75" customHeight="1" x14ac:dyDescent="0.35">
      <c r="A19" s="734" t="s">
        <v>110</v>
      </c>
      <c r="B19" s="738" t="s">
        <v>774</v>
      </c>
      <c r="C19" s="89">
        <v>4</v>
      </c>
      <c r="D19" s="780">
        <f>3*1+1*1.4</f>
        <v>4.4000000000000004</v>
      </c>
      <c r="E19" s="780">
        <v>2</v>
      </c>
      <c r="F19" s="780">
        <v>1</v>
      </c>
      <c r="G19" s="780">
        <v>30</v>
      </c>
      <c r="H19" s="780">
        <f t="shared" si="3"/>
        <v>528</v>
      </c>
      <c r="I19" s="82">
        <f t="shared" si="4"/>
        <v>132</v>
      </c>
      <c r="J19" s="83">
        <f t="shared" si="2"/>
        <v>132</v>
      </c>
      <c r="K19" s="90"/>
      <c r="L19" s="90"/>
      <c r="M19" s="90"/>
      <c r="N19" s="90"/>
      <c r="O19" s="90"/>
      <c r="P19" s="90"/>
      <c r="Q19" s="90"/>
      <c r="R19" s="91"/>
      <c r="S19" s="85"/>
      <c r="T19" s="86"/>
      <c r="U19" s="86"/>
      <c r="V19" s="86"/>
      <c r="W19" s="86"/>
    </row>
    <row r="20" spans="1:23" s="87" customFormat="1" ht="15.75" customHeight="1" x14ac:dyDescent="0.35">
      <c r="A20" s="734" t="s">
        <v>111</v>
      </c>
      <c r="B20" s="735" t="s">
        <v>776</v>
      </c>
      <c r="C20" s="89">
        <v>4</v>
      </c>
      <c r="D20" s="780">
        <v>3</v>
      </c>
      <c r="E20" s="780">
        <v>2</v>
      </c>
      <c r="F20" s="780">
        <v>1</v>
      </c>
      <c r="G20" s="780">
        <v>30</v>
      </c>
      <c r="H20" s="780">
        <f t="shared" si="3"/>
        <v>360</v>
      </c>
      <c r="I20" s="82">
        <f t="shared" si="4"/>
        <v>132</v>
      </c>
      <c r="J20" s="83">
        <f t="shared" si="2"/>
        <v>132</v>
      </c>
      <c r="K20" s="90"/>
      <c r="L20" s="90"/>
      <c r="M20" s="90"/>
      <c r="N20" s="90"/>
      <c r="O20" s="90"/>
      <c r="P20" s="90"/>
      <c r="Q20" s="90"/>
      <c r="R20" s="91"/>
      <c r="S20" s="85"/>
      <c r="T20" s="86"/>
      <c r="U20" s="86"/>
      <c r="V20" s="86"/>
      <c r="W20" s="86"/>
    </row>
    <row r="21" spans="1:23" s="87" customFormat="1" ht="15.75" customHeight="1" x14ac:dyDescent="0.35">
      <c r="A21" s="734" t="s">
        <v>763</v>
      </c>
      <c r="B21" s="735" t="s">
        <v>784</v>
      </c>
      <c r="C21" s="89">
        <v>3</v>
      </c>
      <c r="D21" s="780">
        <v>3</v>
      </c>
      <c r="E21" s="780">
        <v>2</v>
      </c>
      <c r="F21" s="780">
        <v>1</v>
      </c>
      <c r="G21" s="780">
        <v>30</v>
      </c>
      <c r="H21" s="780">
        <f t="shared" si="3"/>
        <v>270</v>
      </c>
      <c r="I21" s="82">
        <f t="shared" si="4"/>
        <v>99</v>
      </c>
      <c r="J21" s="83">
        <f t="shared" si="2"/>
        <v>99</v>
      </c>
      <c r="K21" s="90"/>
      <c r="L21" s="90"/>
      <c r="M21" s="90"/>
      <c r="N21" s="90"/>
      <c r="O21" s="90"/>
      <c r="P21" s="90"/>
      <c r="Q21" s="90"/>
      <c r="R21" s="91"/>
      <c r="S21" s="85"/>
      <c r="T21" s="86"/>
      <c r="U21" s="86"/>
      <c r="V21" s="86"/>
      <c r="W21" s="86"/>
    </row>
    <row r="22" spans="1:23" s="87" customFormat="1" ht="15.75" customHeight="1" x14ac:dyDescent="0.35">
      <c r="A22" s="734" t="s">
        <v>765</v>
      </c>
      <c r="B22" s="738" t="s">
        <v>787</v>
      </c>
      <c r="C22" s="89">
        <v>3</v>
      </c>
      <c r="D22" s="780">
        <v>3</v>
      </c>
      <c r="E22" s="780">
        <v>2</v>
      </c>
      <c r="F22" s="780">
        <v>1</v>
      </c>
      <c r="G22" s="780">
        <v>30</v>
      </c>
      <c r="H22" s="780">
        <f t="shared" si="3"/>
        <v>270</v>
      </c>
      <c r="I22" s="82">
        <f t="shared" si="4"/>
        <v>99</v>
      </c>
      <c r="J22" s="83">
        <f t="shared" si="2"/>
        <v>99</v>
      </c>
      <c r="K22" s="90"/>
      <c r="L22" s="90"/>
      <c r="M22" s="90"/>
      <c r="N22" s="90"/>
      <c r="O22" s="90"/>
      <c r="P22" s="90"/>
      <c r="Q22" s="90"/>
      <c r="R22" s="91"/>
      <c r="S22" s="85"/>
      <c r="T22" s="86"/>
      <c r="U22" s="86"/>
      <c r="V22" s="86"/>
      <c r="W22" s="86"/>
    </row>
    <row r="23" spans="1:23" s="87" customFormat="1" ht="15.75" customHeight="1" x14ac:dyDescent="0.35">
      <c r="A23" s="734" t="s">
        <v>767</v>
      </c>
      <c r="B23" s="749" t="s">
        <v>807</v>
      </c>
      <c r="C23" s="89">
        <v>3</v>
      </c>
      <c r="D23" s="780">
        <v>3</v>
      </c>
      <c r="E23" s="780">
        <v>14</v>
      </c>
      <c r="F23" s="780">
        <v>1.3</v>
      </c>
      <c r="G23" s="780">
        <v>70</v>
      </c>
      <c r="H23" s="780">
        <f t="shared" si="3"/>
        <v>630</v>
      </c>
      <c r="I23" s="82">
        <f t="shared" si="4"/>
        <v>900.9</v>
      </c>
      <c r="J23" s="83">
        <f t="shared" si="2"/>
        <v>900.9</v>
      </c>
      <c r="K23" s="90"/>
      <c r="L23" s="90"/>
      <c r="M23" s="90"/>
      <c r="N23" s="90"/>
      <c r="O23" s="90"/>
      <c r="P23" s="90"/>
      <c r="Q23" s="90"/>
      <c r="R23" s="91"/>
      <c r="S23" s="85"/>
      <c r="T23" s="86"/>
      <c r="U23" s="86"/>
      <c r="V23" s="86"/>
      <c r="W23" s="86"/>
    </row>
    <row r="24" spans="1:23" s="87" customFormat="1" ht="15.75" customHeight="1" x14ac:dyDescent="0.35">
      <c r="A24" s="734" t="s">
        <v>769</v>
      </c>
      <c r="B24" s="735" t="s">
        <v>766</v>
      </c>
      <c r="C24" s="89">
        <v>3</v>
      </c>
      <c r="D24" s="780">
        <v>3</v>
      </c>
      <c r="E24" s="780">
        <v>2</v>
      </c>
      <c r="F24" s="780">
        <v>1</v>
      </c>
      <c r="G24" s="780">
        <v>30</v>
      </c>
      <c r="H24" s="780">
        <f t="shared" si="0"/>
        <v>270</v>
      </c>
      <c r="I24" s="82">
        <f t="shared" si="1"/>
        <v>99</v>
      </c>
      <c r="J24" s="83">
        <f t="shared" si="2"/>
        <v>99</v>
      </c>
      <c r="K24" s="90"/>
      <c r="L24" s="90"/>
      <c r="M24" s="90"/>
      <c r="N24" s="90"/>
      <c r="O24" s="90"/>
      <c r="P24" s="90"/>
      <c r="Q24" s="90"/>
      <c r="R24" s="91"/>
      <c r="S24" s="85"/>
      <c r="T24" s="86"/>
      <c r="U24" s="86"/>
      <c r="V24" s="86"/>
      <c r="W24" s="86"/>
    </row>
    <row r="25" spans="1:23" s="63" customFormat="1" ht="17.25" customHeight="1" x14ac:dyDescent="0.3">
      <c r="A25" s="773">
        <v>1.2</v>
      </c>
      <c r="B25" s="76" t="s">
        <v>831</v>
      </c>
      <c r="C25" s="77"/>
      <c r="D25" s="779"/>
      <c r="E25" s="779"/>
      <c r="F25" s="779"/>
      <c r="G25" s="779"/>
      <c r="H25" s="779"/>
      <c r="I25" s="77"/>
      <c r="J25" s="77"/>
      <c r="K25" s="77"/>
      <c r="L25" s="77"/>
      <c r="M25" s="77"/>
      <c r="N25" s="77"/>
      <c r="O25" s="77"/>
      <c r="P25" s="77"/>
      <c r="Q25" s="77"/>
      <c r="R25" s="78"/>
      <c r="S25" s="2"/>
      <c r="T25" s="34"/>
      <c r="U25" s="34"/>
      <c r="V25" s="34"/>
      <c r="W25" s="34"/>
    </row>
    <row r="26" spans="1:23" s="87" customFormat="1" ht="13" x14ac:dyDescent="0.35">
      <c r="A26" s="734" t="s">
        <v>770</v>
      </c>
      <c r="B26" s="735" t="s">
        <v>757</v>
      </c>
      <c r="C26" s="89">
        <v>3</v>
      </c>
      <c r="D26" s="780">
        <v>3.4</v>
      </c>
      <c r="E26" s="780">
        <v>18</v>
      </c>
      <c r="F26" s="780">
        <v>1.3</v>
      </c>
      <c r="G26" s="780">
        <v>70</v>
      </c>
      <c r="H26" s="780">
        <v>714</v>
      </c>
      <c r="I26" s="82">
        <v>1158.3</v>
      </c>
      <c r="J26" s="83">
        <v>1158.3</v>
      </c>
      <c r="K26" s="83"/>
      <c r="L26" s="83"/>
      <c r="M26" s="83"/>
      <c r="N26" s="83"/>
      <c r="O26" s="83"/>
      <c r="P26" s="83"/>
      <c r="Q26" s="83"/>
      <c r="R26" s="84"/>
      <c r="S26" s="85"/>
      <c r="T26" s="86"/>
      <c r="U26" s="86"/>
      <c r="V26" s="86"/>
      <c r="W26" s="86"/>
    </row>
    <row r="27" spans="1:23" s="87" customFormat="1" ht="15.75" customHeight="1" x14ac:dyDescent="0.35">
      <c r="A27" s="734" t="s">
        <v>772</v>
      </c>
      <c r="B27" s="735" t="s">
        <v>758</v>
      </c>
      <c r="C27" s="772">
        <v>3</v>
      </c>
      <c r="D27" s="114">
        <v>3</v>
      </c>
      <c r="E27" s="114">
        <v>1</v>
      </c>
      <c r="F27" s="114">
        <v>1</v>
      </c>
      <c r="G27" s="114">
        <v>30</v>
      </c>
      <c r="H27" s="780">
        <v>270</v>
      </c>
      <c r="I27" s="82">
        <v>49.5</v>
      </c>
      <c r="J27" s="83">
        <v>49.5</v>
      </c>
      <c r="K27" s="83"/>
      <c r="L27" s="83"/>
      <c r="M27" s="83"/>
      <c r="N27" s="83"/>
      <c r="O27" s="83"/>
      <c r="P27" s="83"/>
      <c r="Q27" s="83"/>
      <c r="R27" s="84"/>
      <c r="S27" s="85"/>
      <c r="T27" s="86"/>
      <c r="U27" s="86"/>
      <c r="V27" s="86"/>
      <c r="W27" s="86"/>
    </row>
    <row r="28" spans="1:23" s="87" customFormat="1" ht="15.75" customHeight="1" x14ac:dyDescent="0.35">
      <c r="A28" s="734" t="s">
        <v>773</v>
      </c>
      <c r="B28" s="735" t="s">
        <v>760</v>
      </c>
      <c r="C28" s="89">
        <v>4</v>
      </c>
      <c r="D28" s="780">
        <v>4</v>
      </c>
      <c r="E28" s="780">
        <v>18</v>
      </c>
      <c r="F28" s="780">
        <v>1.3</v>
      </c>
      <c r="G28" s="780">
        <v>70</v>
      </c>
      <c r="H28" s="780">
        <v>1120</v>
      </c>
      <c r="I28" s="82">
        <v>1544.4</v>
      </c>
      <c r="J28" s="83">
        <v>1544.4</v>
      </c>
      <c r="K28" s="83"/>
      <c r="L28" s="83"/>
      <c r="M28" s="83"/>
      <c r="N28" s="83"/>
      <c r="O28" s="83"/>
      <c r="P28" s="83"/>
      <c r="Q28" s="83"/>
      <c r="R28" s="84"/>
      <c r="S28" s="85"/>
      <c r="T28" s="86"/>
      <c r="U28" s="86"/>
      <c r="V28" s="86"/>
      <c r="W28" s="86"/>
    </row>
    <row r="29" spans="1:23" s="87" customFormat="1" ht="15.75" customHeight="1" x14ac:dyDescent="0.35">
      <c r="A29" s="734" t="s">
        <v>775</v>
      </c>
      <c r="B29" s="736" t="s">
        <v>762</v>
      </c>
      <c r="C29" s="89">
        <v>3</v>
      </c>
      <c r="D29" s="780">
        <v>3</v>
      </c>
      <c r="E29" s="780">
        <v>14</v>
      </c>
      <c r="F29" s="780">
        <v>1.3</v>
      </c>
      <c r="G29" s="780">
        <v>70</v>
      </c>
      <c r="H29" s="780">
        <v>630</v>
      </c>
      <c r="I29" s="82">
        <v>900.9</v>
      </c>
      <c r="J29" s="83">
        <v>900.9</v>
      </c>
      <c r="K29" s="90"/>
      <c r="L29" s="90"/>
      <c r="M29" s="90"/>
      <c r="N29" s="90"/>
      <c r="O29" s="90"/>
      <c r="P29" s="90"/>
      <c r="Q29" s="90"/>
      <c r="R29" s="91"/>
      <c r="S29" s="85"/>
      <c r="T29" s="86"/>
      <c r="U29" s="86"/>
      <c r="V29" s="86"/>
      <c r="W29" s="86"/>
    </row>
    <row r="30" spans="1:23" s="87" customFormat="1" ht="15.75" customHeight="1" x14ac:dyDescent="0.35">
      <c r="A30" s="734" t="s">
        <v>777</v>
      </c>
      <c r="B30" s="737" t="s">
        <v>764</v>
      </c>
      <c r="C30" s="89">
        <v>3</v>
      </c>
      <c r="D30" s="780">
        <v>3</v>
      </c>
      <c r="E30" s="780">
        <v>14</v>
      </c>
      <c r="F30" s="780">
        <v>1.3</v>
      </c>
      <c r="G30" s="780">
        <v>70</v>
      </c>
      <c r="H30" s="780">
        <v>630</v>
      </c>
      <c r="I30" s="82">
        <v>900.9</v>
      </c>
      <c r="J30" s="83">
        <v>900.9</v>
      </c>
      <c r="K30" s="90"/>
      <c r="L30" s="90"/>
      <c r="M30" s="90"/>
      <c r="N30" s="90"/>
      <c r="O30" s="90"/>
      <c r="P30" s="90"/>
      <c r="Q30" s="90"/>
      <c r="R30" s="91"/>
      <c r="S30" s="85"/>
      <c r="T30" s="86"/>
      <c r="U30" s="86"/>
      <c r="V30" s="86"/>
      <c r="W30" s="86"/>
    </row>
    <row r="31" spans="1:23" s="87" customFormat="1" ht="15.75" customHeight="1" x14ac:dyDescent="0.35">
      <c r="A31" s="734" t="s">
        <v>830</v>
      </c>
      <c r="B31" s="738" t="s">
        <v>768</v>
      </c>
      <c r="C31" s="89">
        <v>3</v>
      </c>
      <c r="D31" s="780">
        <v>3</v>
      </c>
      <c r="E31" s="780">
        <v>2</v>
      </c>
      <c r="F31" s="780">
        <v>1</v>
      </c>
      <c r="G31" s="780">
        <v>30</v>
      </c>
      <c r="H31" s="780">
        <v>270</v>
      </c>
      <c r="I31" s="82">
        <v>99</v>
      </c>
      <c r="J31" s="83">
        <v>99</v>
      </c>
      <c r="K31" s="90"/>
      <c r="L31" s="90"/>
      <c r="M31" s="90"/>
      <c r="N31" s="90"/>
      <c r="O31" s="90"/>
      <c r="P31" s="90"/>
      <c r="Q31" s="90"/>
      <c r="R31" s="91"/>
      <c r="S31" s="85"/>
      <c r="T31" s="86"/>
      <c r="U31" s="86"/>
      <c r="V31" s="86"/>
      <c r="W31" s="86"/>
    </row>
    <row r="32" spans="1:23" s="87" customFormat="1" ht="15.75" customHeight="1" x14ac:dyDescent="0.35">
      <c r="A32" s="734" t="s">
        <v>780</v>
      </c>
      <c r="B32" s="735" t="s">
        <v>778</v>
      </c>
      <c r="C32" s="89">
        <v>3</v>
      </c>
      <c r="D32" s="780">
        <v>3.9</v>
      </c>
      <c r="E32" s="780">
        <v>1</v>
      </c>
      <c r="F32" s="780">
        <v>1</v>
      </c>
      <c r="G32" s="780">
        <v>30</v>
      </c>
      <c r="H32" s="780">
        <v>270</v>
      </c>
      <c r="I32" s="82">
        <v>49.5</v>
      </c>
      <c r="J32" s="83">
        <v>49.5</v>
      </c>
      <c r="K32" s="90"/>
      <c r="L32" s="90"/>
      <c r="M32" s="90"/>
      <c r="N32" s="90"/>
      <c r="O32" s="90"/>
      <c r="P32" s="90"/>
      <c r="Q32" s="90"/>
      <c r="R32" s="91"/>
      <c r="S32" s="85"/>
      <c r="T32" s="86"/>
      <c r="U32" s="86"/>
      <c r="V32" s="86"/>
      <c r="W32" s="86"/>
    </row>
    <row r="33" spans="1:23" s="87" customFormat="1" ht="15.75" customHeight="1" x14ac:dyDescent="0.35">
      <c r="A33" s="734" t="s">
        <v>782</v>
      </c>
      <c r="B33" s="735" t="s">
        <v>779</v>
      </c>
      <c r="C33" s="89">
        <v>3</v>
      </c>
      <c r="D33" s="780">
        <v>3.9</v>
      </c>
      <c r="E33" s="780">
        <v>1</v>
      </c>
      <c r="F33" s="780">
        <v>1</v>
      </c>
      <c r="G33" s="780">
        <v>30</v>
      </c>
      <c r="H33" s="780">
        <v>270</v>
      </c>
      <c r="I33" s="82">
        <v>49.5</v>
      </c>
      <c r="J33" s="83">
        <v>49.5</v>
      </c>
      <c r="K33" s="90"/>
      <c r="L33" s="90"/>
      <c r="M33" s="90"/>
      <c r="N33" s="90"/>
      <c r="O33" s="90"/>
      <c r="P33" s="90"/>
      <c r="Q33" s="90"/>
      <c r="R33" s="91"/>
      <c r="S33" s="85"/>
      <c r="T33" s="86"/>
      <c r="U33" s="86"/>
      <c r="V33" s="86"/>
      <c r="W33" s="86"/>
    </row>
    <row r="34" spans="1:23" s="87" customFormat="1" ht="15.75" customHeight="1" x14ac:dyDescent="0.35">
      <c r="A34" s="734" t="s">
        <v>783</v>
      </c>
      <c r="B34" s="735" t="s">
        <v>781</v>
      </c>
      <c r="C34" s="89">
        <v>3</v>
      </c>
      <c r="D34" s="780">
        <v>3</v>
      </c>
      <c r="E34" s="780">
        <v>2</v>
      </c>
      <c r="F34" s="780">
        <v>1</v>
      </c>
      <c r="G34" s="780">
        <v>30</v>
      </c>
      <c r="H34" s="780">
        <v>270</v>
      </c>
      <c r="I34" s="82">
        <v>99</v>
      </c>
      <c r="J34" s="83">
        <v>99</v>
      </c>
      <c r="K34" s="90"/>
      <c r="L34" s="90"/>
      <c r="M34" s="90"/>
      <c r="N34" s="90"/>
      <c r="O34" s="90"/>
      <c r="P34" s="90"/>
      <c r="Q34" s="90"/>
      <c r="R34" s="91"/>
      <c r="S34" s="85"/>
      <c r="T34" s="86"/>
      <c r="U34" s="86"/>
      <c r="V34" s="86"/>
      <c r="W34" s="86"/>
    </row>
    <row r="35" spans="1:23" s="87" customFormat="1" ht="15.75" customHeight="1" x14ac:dyDescent="0.35">
      <c r="A35" s="734" t="s">
        <v>785</v>
      </c>
      <c r="B35" s="735" t="s">
        <v>788</v>
      </c>
      <c r="C35" s="89">
        <v>3</v>
      </c>
      <c r="D35" s="780">
        <v>3</v>
      </c>
      <c r="E35" s="780">
        <v>2</v>
      </c>
      <c r="F35" s="780">
        <v>1</v>
      </c>
      <c r="G35" s="780">
        <v>30</v>
      </c>
      <c r="H35" s="780">
        <v>270</v>
      </c>
      <c r="I35" s="82">
        <v>99</v>
      </c>
      <c r="J35" s="83">
        <v>99</v>
      </c>
      <c r="K35" s="90"/>
      <c r="L35" s="90"/>
      <c r="M35" s="90"/>
      <c r="N35" s="90"/>
      <c r="O35" s="90"/>
      <c r="P35" s="90"/>
      <c r="Q35" s="90"/>
      <c r="R35" s="91"/>
      <c r="S35" s="85"/>
      <c r="T35" s="86"/>
      <c r="U35" s="86"/>
      <c r="V35" s="86"/>
      <c r="W35" s="86"/>
    </row>
    <row r="36" spans="1:23" s="87" customFormat="1" ht="15.75" customHeight="1" x14ac:dyDescent="0.35">
      <c r="A36" s="734" t="s">
        <v>786</v>
      </c>
      <c r="B36" s="738" t="s">
        <v>825</v>
      </c>
      <c r="C36" s="89">
        <v>3</v>
      </c>
      <c r="D36" s="780">
        <v>3</v>
      </c>
      <c r="E36" s="780">
        <v>2</v>
      </c>
      <c r="F36" s="780">
        <v>1</v>
      </c>
      <c r="G36" s="780">
        <v>30</v>
      </c>
      <c r="H36" s="780">
        <v>270</v>
      </c>
      <c r="I36" s="82">
        <v>99</v>
      </c>
      <c r="J36" s="83">
        <v>99</v>
      </c>
      <c r="K36" s="90"/>
      <c r="L36" s="90"/>
      <c r="M36" s="90"/>
      <c r="N36" s="90"/>
      <c r="O36" s="90"/>
      <c r="P36" s="90"/>
      <c r="Q36" s="90"/>
      <c r="R36" s="91"/>
      <c r="S36" s="85"/>
      <c r="T36" s="86"/>
      <c r="U36" s="86"/>
      <c r="V36" s="86"/>
      <c r="W36" s="86"/>
    </row>
    <row r="37" spans="1:23" s="87" customFormat="1" ht="15.75" customHeight="1" x14ac:dyDescent="0.35">
      <c r="A37" s="93" t="s">
        <v>112</v>
      </c>
      <c r="B37" s="94" t="s">
        <v>113</v>
      </c>
      <c r="C37" s="89"/>
      <c r="D37" s="780"/>
      <c r="E37" s="780"/>
      <c r="F37" s="780"/>
      <c r="G37" s="780"/>
      <c r="H37" s="780"/>
      <c r="I37" s="82"/>
      <c r="J37" s="83"/>
      <c r="K37" s="90"/>
      <c r="L37" s="90"/>
      <c r="M37" s="90"/>
      <c r="N37" s="90"/>
      <c r="O37" s="90"/>
      <c r="P37" s="90"/>
      <c r="Q37" s="90"/>
      <c r="R37" s="91"/>
      <c r="S37" s="85"/>
      <c r="T37" s="86"/>
      <c r="U37" s="86"/>
      <c r="V37" s="86"/>
      <c r="W37" s="86"/>
    </row>
    <row r="38" spans="1:23" s="87" customFormat="1" ht="16.5" customHeight="1" x14ac:dyDescent="0.35">
      <c r="A38" s="92" t="s">
        <v>114</v>
      </c>
      <c r="B38" s="95" t="s">
        <v>789</v>
      </c>
      <c r="C38" s="89">
        <v>5</v>
      </c>
      <c r="D38" s="780">
        <v>7.5</v>
      </c>
      <c r="E38" s="780">
        <v>1</v>
      </c>
      <c r="F38" s="780">
        <v>1</v>
      </c>
      <c r="G38" s="780">
        <v>40</v>
      </c>
      <c r="H38" s="780">
        <f t="shared" si="0"/>
        <v>1500</v>
      </c>
      <c r="I38" s="82">
        <f t="shared" si="1"/>
        <v>82.5</v>
      </c>
      <c r="J38" s="83">
        <f t="shared" si="2"/>
        <v>82.5</v>
      </c>
      <c r="K38" s="90"/>
      <c r="L38" s="90"/>
      <c r="M38" s="90"/>
      <c r="N38" s="90"/>
      <c r="O38" s="90"/>
      <c r="P38" s="90"/>
      <c r="Q38" s="90"/>
      <c r="R38" s="91"/>
      <c r="S38" s="85"/>
      <c r="T38" s="86"/>
      <c r="U38" s="86"/>
      <c r="V38" s="86"/>
      <c r="W38" s="86"/>
    </row>
    <row r="39" spans="1:23" s="87" customFormat="1" ht="15.75" customHeight="1" x14ac:dyDescent="0.35">
      <c r="A39" s="75">
        <v>2</v>
      </c>
      <c r="B39" s="76" t="s">
        <v>832</v>
      </c>
      <c r="C39" s="89"/>
      <c r="D39" s="780"/>
      <c r="E39" s="780"/>
      <c r="F39" s="780"/>
      <c r="G39" s="780"/>
      <c r="H39" s="780"/>
      <c r="I39" s="82"/>
      <c r="J39" s="83"/>
      <c r="K39" s="90"/>
      <c r="L39" s="90"/>
      <c r="M39" s="90"/>
      <c r="N39" s="90"/>
      <c r="O39" s="90"/>
      <c r="P39" s="90"/>
      <c r="Q39" s="90"/>
      <c r="R39" s="91"/>
      <c r="S39" s="85"/>
      <c r="T39" s="86"/>
      <c r="U39" s="86"/>
      <c r="V39" s="86"/>
      <c r="W39" s="86"/>
    </row>
    <row r="40" spans="1:23" s="87" customFormat="1" ht="15.75" customHeight="1" x14ac:dyDescent="0.35">
      <c r="A40" s="79" t="s">
        <v>103</v>
      </c>
      <c r="B40" s="80" t="s">
        <v>116</v>
      </c>
      <c r="C40" s="97"/>
      <c r="D40" s="781"/>
      <c r="E40" s="781"/>
      <c r="F40" s="781"/>
      <c r="G40" s="781"/>
      <c r="H40" s="780"/>
      <c r="I40" s="82"/>
      <c r="J40" s="83"/>
      <c r="K40" s="90"/>
      <c r="L40" s="90"/>
      <c r="M40" s="90"/>
      <c r="N40" s="90"/>
      <c r="O40" s="90"/>
      <c r="P40" s="90"/>
      <c r="Q40" s="90"/>
      <c r="R40" s="91"/>
      <c r="S40" s="85"/>
      <c r="T40" s="86"/>
      <c r="U40" s="86"/>
      <c r="V40" s="86"/>
      <c r="W40" s="86"/>
    </row>
    <row r="41" spans="1:23" s="87" customFormat="1" ht="15.75" customHeight="1" x14ac:dyDescent="0.35">
      <c r="A41" s="734" t="s">
        <v>105</v>
      </c>
      <c r="B41" s="735" t="s">
        <v>790</v>
      </c>
      <c r="C41" s="97">
        <v>3</v>
      </c>
      <c r="D41" s="781">
        <v>4.5</v>
      </c>
      <c r="E41" s="781">
        <v>5</v>
      </c>
      <c r="F41" s="781">
        <v>1</v>
      </c>
      <c r="G41" s="781">
        <v>30</v>
      </c>
      <c r="H41" s="780">
        <f t="shared" si="0"/>
        <v>405</v>
      </c>
      <c r="I41" s="82">
        <f t="shared" si="1"/>
        <v>247.5</v>
      </c>
      <c r="J41" s="83">
        <f t="shared" si="2"/>
        <v>247.5</v>
      </c>
      <c r="K41" s="90"/>
      <c r="L41" s="90"/>
      <c r="M41" s="90"/>
      <c r="N41" s="90"/>
      <c r="O41" s="90"/>
      <c r="P41" s="90"/>
      <c r="Q41" s="90"/>
      <c r="R41" s="91"/>
      <c r="S41" s="85"/>
      <c r="T41" s="86"/>
      <c r="U41" s="86"/>
      <c r="V41" s="86"/>
      <c r="W41" s="86"/>
    </row>
    <row r="42" spans="1:23" s="87" customFormat="1" ht="15.75" customHeight="1" x14ac:dyDescent="0.35">
      <c r="A42" s="734" t="s">
        <v>107</v>
      </c>
      <c r="B42" s="735" t="s">
        <v>791</v>
      </c>
      <c r="C42" s="97">
        <v>3</v>
      </c>
      <c r="D42" s="781">
        <v>4.5</v>
      </c>
      <c r="E42" s="781">
        <v>5</v>
      </c>
      <c r="F42" s="781">
        <v>1</v>
      </c>
      <c r="G42" s="781">
        <v>30</v>
      </c>
      <c r="H42" s="780">
        <f t="shared" si="0"/>
        <v>405</v>
      </c>
      <c r="I42" s="82">
        <f t="shared" si="1"/>
        <v>247.5</v>
      </c>
      <c r="J42" s="83">
        <f t="shared" si="2"/>
        <v>247.5</v>
      </c>
      <c r="K42" s="90"/>
      <c r="L42" s="90"/>
      <c r="M42" s="90"/>
      <c r="N42" s="90"/>
      <c r="O42" s="90"/>
      <c r="P42" s="90"/>
      <c r="Q42" s="90"/>
      <c r="R42" s="91"/>
      <c r="S42" s="85"/>
      <c r="T42" s="86"/>
      <c r="U42" s="86"/>
      <c r="V42" s="86"/>
      <c r="W42" s="86"/>
    </row>
    <row r="43" spans="1:23" s="87" customFormat="1" ht="15.75" customHeight="1" x14ac:dyDescent="0.35">
      <c r="A43" s="734" t="s">
        <v>108</v>
      </c>
      <c r="B43" s="735" t="s">
        <v>792</v>
      </c>
      <c r="C43" s="97">
        <v>3</v>
      </c>
      <c r="D43" s="781">
        <v>4.5</v>
      </c>
      <c r="E43" s="781">
        <v>6</v>
      </c>
      <c r="F43" s="781">
        <v>1</v>
      </c>
      <c r="G43" s="781">
        <v>30</v>
      </c>
      <c r="H43" s="780">
        <f t="shared" si="0"/>
        <v>405</v>
      </c>
      <c r="I43" s="82">
        <f t="shared" si="1"/>
        <v>297</v>
      </c>
      <c r="J43" s="83">
        <f t="shared" si="2"/>
        <v>297</v>
      </c>
      <c r="K43" s="90"/>
      <c r="L43" s="90"/>
      <c r="M43" s="90"/>
      <c r="N43" s="90"/>
      <c r="O43" s="90"/>
      <c r="P43" s="90"/>
      <c r="Q43" s="90"/>
      <c r="R43" s="91"/>
      <c r="S43" s="85"/>
      <c r="T43" s="86"/>
      <c r="U43" s="86"/>
      <c r="V43" s="86"/>
      <c r="W43" s="86"/>
    </row>
    <row r="44" spans="1:23" s="87" customFormat="1" ht="15.75" customHeight="1" x14ac:dyDescent="0.35">
      <c r="A44" s="739" t="s">
        <v>109</v>
      </c>
      <c r="B44" s="740" t="s">
        <v>793</v>
      </c>
      <c r="C44" s="97">
        <v>3</v>
      </c>
      <c r="D44" s="781">
        <v>4.5</v>
      </c>
      <c r="E44" s="781">
        <v>5</v>
      </c>
      <c r="F44" s="781">
        <v>1</v>
      </c>
      <c r="G44" s="781">
        <v>30</v>
      </c>
      <c r="H44" s="780">
        <f t="shared" si="0"/>
        <v>405</v>
      </c>
      <c r="I44" s="82">
        <f t="shared" si="1"/>
        <v>247.5</v>
      </c>
      <c r="J44" s="83">
        <f t="shared" si="2"/>
        <v>247.5</v>
      </c>
      <c r="K44" s="90"/>
      <c r="L44" s="90"/>
      <c r="M44" s="90"/>
      <c r="N44" s="90"/>
      <c r="O44" s="90"/>
      <c r="P44" s="90"/>
      <c r="Q44" s="90"/>
      <c r="R44" s="91"/>
      <c r="S44" s="85"/>
      <c r="T44" s="86"/>
      <c r="U44" s="86"/>
      <c r="V44" s="86"/>
      <c r="W44" s="86"/>
    </row>
    <row r="45" spans="1:23" s="87" customFormat="1" ht="15.75" customHeight="1" x14ac:dyDescent="0.35">
      <c r="A45" s="734" t="s">
        <v>110</v>
      </c>
      <c r="B45" s="735" t="s">
        <v>794</v>
      </c>
      <c r="C45" s="97">
        <v>3</v>
      </c>
      <c r="D45" s="781">
        <v>4.5</v>
      </c>
      <c r="E45" s="781">
        <v>1</v>
      </c>
      <c r="F45" s="781">
        <v>1</v>
      </c>
      <c r="G45" s="781">
        <v>30</v>
      </c>
      <c r="H45" s="780">
        <f t="shared" si="0"/>
        <v>405</v>
      </c>
      <c r="I45" s="82">
        <f t="shared" si="1"/>
        <v>49.5</v>
      </c>
      <c r="J45" s="83">
        <f t="shared" si="2"/>
        <v>49.5</v>
      </c>
      <c r="K45" s="90"/>
      <c r="L45" s="90"/>
      <c r="M45" s="90"/>
      <c r="N45" s="90"/>
      <c r="O45" s="90"/>
      <c r="P45" s="90"/>
      <c r="Q45" s="90"/>
      <c r="R45" s="91"/>
      <c r="S45" s="85"/>
      <c r="T45" s="86"/>
      <c r="U45" s="86"/>
      <c r="V45" s="86"/>
      <c r="W45" s="86"/>
    </row>
    <row r="46" spans="1:23" s="87" customFormat="1" ht="15.75" customHeight="1" x14ac:dyDescent="0.35">
      <c r="A46" s="734" t="s">
        <v>111</v>
      </c>
      <c r="B46" s="735" t="s">
        <v>795</v>
      </c>
      <c r="C46" s="97">
        <v>3</v>
      </c>
      <c r="D46" s="781">
        <v>4.5</v>
      </c>
      <c r="E46" s="781">
        <v>1</v>
      </c>
      <c r="F46" s="781">
        <v>1</v>
      </c>
      <c r="G46" s="781">
        <v>30</v>
      </c>
      <c r="H46" s="780">
        <f t="shared" si="0"/>
        <v>405</v>
      </c>
      <c r="I46" s="82">
        <f t="shared" si="1"/>
        <v>49.5</v>
      </c>
      <c r="J46" s="83">
        <f t="shared" si="2"/>
        <v>49.5</v>
      </c>
      <c r="K46" s="90"/>
      <c r="L46" s="90"/>
      <c r="M46" s="90"/>
      <c r="N46" s="90"/>
      <c r="O46" s="90"/>
      <c r="P46" s="90"/>
      <c r="Q46" s="90"/>
      <c r="R46" s="91"/>
      <c r="S46" s="85"/>
      <c r="T46" s="86"/>
      <c r="U46" s="86"/>
      <c r="V46" s="86"/>
      <c r="W46" s="86"/>
    </row>
    <row r="47" spans="1:23" s="87" customFormat="1" ht="15.75" customHeight="1" x14ac:dyDescent="0.35">
      <c r="A47" s="734" t="s">
        <v>763</v>
      </c>
      <c r="B47" s="735" t="s">
        <v>796</v>
      </c>
      <c r="C47" s="97">
        <v>3</v>
      </c>
      <c r="D47" s="781">
        <v>4.5</v>
      </c>
      <c r="E47" s="781">
        <v>1</v>
      </c>
      <c r="F47" s="781">
        <v>1</v>
      </c>
      <c r="G47" s="781">
        <v>30</v>
      </c>
      <c r="H47" s="780">
        <f t="shared" si="0"/>
        <v>405</v>
      </c>
      <c r="I47" s="82">
        <f t="shared" si="1"/>
        <v>49.5</v>
      </c>
      <c r="J47" s="83">
        <f t="shared" si="2"/>
        <v>49.5</v>
      </c>
      <c r="K47" s="90"/>
      <c r="L47" s="90"/>
      <c r="M47" s="90"/>
      <c r="N47" s="90"/>
      <c r="O47" s="90"/>
      <c r="P47" s="90"/>
      <c r="Q47" s="90"/>
      <c r="R47" s="91"/>
      <c r="S47" s="85"/>
      <c r="T47" s="86"/>
      <c r="U47" s="86"/>
      <c r="V47" s="86"/>
      <c r="W47" s="86"/>
    </row>
    <row r="48" spans="1:23" s="87" customFormat="1" ht="15.75" customHeight="1" x14ac:dyDescent="0.35">
      <c r="A48" s="734" t="s">
        <v>765</v>
      </c>
      <c r="B48" s="735" t="s">
        <v>797</v>
      </c>
      <c r="C48" s="97">
        <v>3</v>
      </c>
      <c r="D48" s="781">
        <v>4.5</v>
      </c>
      <c r="E48" s="781">
        <v>1</v>
      </c>
      <c r="F48" s="781">
        <v>1</v>
      </c>
      <c r="G48" s="781">
        <v>30</v>
      </c>
      <c r="H48" s="780">
        <f t="shared" si="0"/>
        <v>405</v>
      </c>
      <c r="I48" s="82">
        <f t="shared" si="1"/>
        <v>49.5</v>
      </c>
      <c r="J48" s="83">
        <f t="shared" si="2"/>
        <v>49.5</v>
      </c>
      <c r="K48" s="90"/>
      <c r="L48" s="90"/>
      <c r="M48" s="90"/>
      <c r="N48" s="90"/>
      <c r="O48" s="90"/>
      <c r="P48" s="90"/>
      <c r="Q48" s="90"/>
      <c r="R48" s="91"/>
      <c r="S48" s="85"/>
      <c r="T48" s="86"/>
      <c r="U48" s="86"/>
      <c r="V48" s="86"/>
      <c r="W48" s="86"/>
    </row>
    <row r="49" spans="1:23" s="87" customFormat="1" ht="15.75" customHeight="1" x14ac:dyDescent="0.35">
      <c r="A49" s="734" t="s">
        <v>767</v>
      </c>
      <c r="B49" s="735" t="s">
        <v>798</v>
      </c>
      <c r="C49" s="97">
        <v>3</v>
      </c>
      <c r="D49" s="781">
        <v>4.5</v>
      </c>
      <c r="E49" s="781">
        <v>1</v>
      </c>
      <c r="F49" s="781">
        <v>1</v>
      </c>
      <c r="G49" s="781">
        <v>30</v>
      </c>
      <c r="H49" s="780">
        <f t="shared" si="0"/>
        <v>405</v>
      </c>
      <c r="I49" s="82">
        <f t="shared" si="1"/>
        <v>49.5</v>
      </c>
      <c r="J49" s="83">
        <f t="shared" si="2"/>
        <v>49.5</v>
      </c>
      <c r="K49" s="90"/>
      <c r="L49" s="90"/>
      <c r="M49" s="90"/>
      <c r="N49" s="90"/>
      <c r="O49" s="90"/>
      <c r="P49" s="90"/>
      <c r="Q49" s="90"/>
      <c r="R49" s="91"/>
      <c r="S49" s="85"/>
      <c r="T49" s="86"/>
      <c r="U49" s="86"/>
      <c r="V49" s="86"/>
      <c r="W49" s="86"/>
    </row>
    <row r="50" spans="1:23" s="87" customFormat="1" ht="15.75" customHeight="1" x14ac:dyDescent="0.35">
      <c r="A50" s="734" t="s">
        <v>769</v>
      </c>
      <c r="B50" s="88" t="s">
        <v>799</v>
      </c>
      <c r="C50" s="97">
        <v>3</v>
      </c>
      <c r="D50" s="781">
        <v>4.5</v>
      </c>
      <c r="E50" s="781">
        <v>5</v>
      </c>
      <c r="F50" s="781">
        <v>1</v>
      </c>
      <c r="G50" s="781">
        <v>30</v>
      </c>
      <c r="H50" s="780">
        <f t="shared" si="0"/>
        <v>405</v>
      </c>
      <c r="I50" s="82">
        <f t="shared" si="1"/>
        <v>247.5</v>
      </c>
      <c r="J50" s="83">
        <f t="shared" si="2"/>
        <v>247.5</v>
      </c>
      <c r="K50" s="90"/>
      <c r="L50" s="90"/>
      <c r="M50" s="90"/>
      <c r="N50" s="90"/>
      <c r="O50" s="90"/>
      <c r="P50" s="90"/>
      <c r="Q50" s="90"/>
      <c r="R50" s="91"/>
      <c r="S50" s="85"/>
      <c r="T50" s="86"/>
      <c r="U50" s="86"/>
      <c r="V50" s="86"/>
      <c r="W50" s="86"/>
    </row>
    <row r="51" spans="1:23" s="87" customFormat="1" ht="15.75" customHeight="1" x14ac:dyDescent="0.35">
      <c r="A51" s="734" t="s">
        <v>770</v>
      </c>
      <c r="B51" s="88" t="s">
        <v>800</v>
      </c>
      <c r="C51" s="97">
        <v>3</v>
      </c>
      <c r="D51" s="781">
        <v>4.5</v>
      </c>
      <c r="E51" s="781">
        <v>5</v>
      </c>
      <c r="F51" s="781">
        <v>1</v>
      </c>
      <c r="G51" s="781">
        <v>30</v>
      </c>
      <c r="H51" s="780">
        <f t="shared" si="0"/>
        <v>405</v>
      </c>
      <c r="I51" s="82">
        <f t="shared" si="1"/>
        <v>247.5</v>
      </c>
      <c r="J51" s="83">
        <f t="shared" si="2"/>
        <v>247.5</v>
      </c>
      <c r="K51" s="90"/>
      <c r="L51" s="90"/>
      <c r="M51" s="90"/>
      <c r="N51" s="90"/>
      <c r="O51" s="90"/>
      <c r="P51" s="90"/>
      <c r="Q51" s="90"/>
      <c r="R51" s="91"/>
      <c r="S51" s="85"/>
      <c r="T51" s="86"/>
      <c r="U51" s="86"/>
      <c r="V51" s="86"/>
      <c r="W51" s="86"/>
    </row>
    <row r="52" spans="1:23" s="87" customFormat="1" ht="15.75" customHeight="1" x14ac:dyDescent="0.35">
      <c r="A52" s="734" t="s">
        <v>772</v>
      </c>
      <c r="B52" s="88" t="s">
        <v>801</v>
      </c>
      <c r="C52" s="97">
        <v>3</v>
      </c>
      <c r="D52" s="781">
        <v>4.5</v>
      </c>
      <c r="E52" s="781">
        <v>5</v>
      </c>
      <c r="F52" s="781">
        <v>1</v>
      </c>
      <c r="G52" s="781">
        <v>30</v>
      </c>
      <c r="H52" s="780">
        <f t="shared" si="0"/>
        <v>405</v>
      </c>
      <c r="I52" s="82">
        <f t="shared" si="1"/>
        <v>247.5</v>
      </c>
      <c r="J52" s="83">
        <f t="shared" si="2"/>
        <v>247.5</v>
      </c>
      <c r="K52" s="90"/>
      <c r="L52" s="90"/>
      <c r="M52" s="90"/>
      <c r="N52" s="90"/>
      <c r="O52" s="90"/>
      <c r="P52" s="90"/>
      <c r="Q52" s="90"/>
      <c r="R52" s="91"/>
      <c r="S52" s="85"/>
      <c r="T52" s="86"/>
      <c r="U52" s="86"/>
      <c r="V52" s="86"/>
      <c r="W52" s="86"/>
    </row>
    <row r="53" spans="1:23" s="87" customFormat="1" ht="15.75" customHeight="1" x14ac:dyDescent="0.35">
      <c r="A53" s="734" t="s">
        <v>773</v>
      </c>
      <c r="B53" s="88" t="s">
        <v>802</v>
      </c>
      <c r="C53" s="97">
        <v>3</v>
      </c>
      <c r="D53" s="781">
        <v>4.5</v>
      </c>
      <c r="E53" s="781">
        <v>5</v>
      </c>
      <c r="F53" s="781">
        <v>1</v>
      </c>
      <c r="G53" s="781">
        <v>30</v>
      </c>
      <c r="H53" s="780">
        <f t="shared" si="0"/>
        <v>405</v>
      </c>
      <c r="I53" s="82">
        <f t="shared" si="1"/>
        <v>247.5</v>
      </c>
      <c r="J53" s="83">
        <f t="shared" si="2"/>
        <v>247.5</v>
      </c>
      <c r="K53" s="90"/>
      <c r="L53" s="90"/>
      <c r="M53" s="90"/>
      <c r="N53" s="90"/>
      <c r="O53" s="90"/>
      <c r="P53" s="90"/>
      <c r="Q53" s="90"/>
      <c r="R53" s="91"/>
      <c r="S53" s="85"/>
      <c r="T53" s="86"/>
      <c r="U53" s="86"/>
      <c r="V53" s="86"/>
      <c r="W53" s="86"/>
    </row>
    <row r="54" spans="1:23" s="87" customFormat="1" ht="15.75" customHeight="1" x14ac:dyDescent="0.35">
      <c r="A54" s="734" t="s">
        <v>775</v>
      </c>
      <c r="B54" s="88" t="s">
        <v>803</v>
      </c>
      <c r="C54" s="97">
        <v>3</v>
      </c>
      <c r="D54" s="781">
        <v>4.5</v>
      </c>
      <c r="E54" s="781">
        <v>5</v>
      </c>
      <c r="F54" s="781">
        <v>1</v>
      </c>
      <c r="G54" s="781">
        <v>30</v>
      </c>
      <c r="H54" s="780">
        <f t="shared" si="0"/>
        <v>405</v>
      </c>
      <c r="I54" s="82">
        <f t="shared" si="1"/>
        <v>247.5</v>
      </c>
      <c r="J54" s="83">
        <f t="shared" si="2"/>
        <v>247.5</v>
      </c>
      <c r="K54" s="90"/>
      <c r="L54" s="90"/>
      <c r="M54" s="90"/>
      <c r="N54" s="90"/>
      <c r="O54" s="90"/>
      <c r="P54" s="90"/>
      <c r="Q54" s="90"/>
      <c r="R54" s="91"/>
      <c r="S54" s="85"/>
      <c r="T54" s="86"/>
      <c r="U54" s="86"/>
      <c r="V54" s="86"/>
      <c r="W54" s="86"/>
    </row>
    <row r="55" spans="1:23" s="87" customFormat="1" ht="15.75" customHeight="1" x14ac:dyDescent="0.35">
      <c r="A55" s="734" t="s">
        <v>777</v>
      </c>
      <c r="B55" s="88" t="s">
        <v>804</v>
      </c>
      <c r="C55" s="97">
        <v>3</v>
      </c>
      <c r="D55" s="781">
        <v>4.5</v>
      </c>
      <c r="E55" s="781">
        <v>5</v>
      </c>
      <c r="F55" s="781">
        <v>1</v>
      </c>
      <c r="G55" s="781">
        <v>30</v>
      </c>
      <c r="H55" s="780">
        <f t="shared" si="0"/>
        <v>405</v>
      </c>
      <c r="I55" s="82">
        <f t="shared" si="1"/>
        <v>247.5</v>
      </c>
      <c r="J55" s="83">
        <f t="shared" si="2"/>
        <v>247.5</v>
      </c>
      <c r="K55" s="90"/>
      <c r="L55" s="90"/>
      <c r="M55" s="90"/>
      <c r="N55" s="90"/>
      <c r="O55" s="90"/>
      <c r="P55" s="90"/>
      <c r="Q55" s="90"/>
      <c r="R55" s="91"/>
      <c r="S55" s="85"/>
      <c r="T55" s="86"/>
      <c r="U55" s="86"/>
      <c r="V55" s="86"/>
      <c r="W55" s="86"/>
    </row>
    <row r="56" spans="1:23" s="87" customFormat="1" ht="15.75" customHeight="1" x14ac:dyDescent="0.35">
      <c r="A56" s="734" t="s">
        <v>830</v>
      </c>
      <c r="B56" s="88" t="s">
        <v>827</v>
      </c>
      <c r="C56" s="97">
        <v>3</v>
      </c>
      <c r="D56" s="781">
        <v>4.5</v>
      </c>
      <c r="E56" s="781">
        <v>5</v>
      </c>
      <c r="F56" s="781">
        <v>1</v>
      </c>
      <c r="G56" s="781">
        <v>30</v>
      </c>
      <c r="H56" s="780">
        <f t="shared" si="0"/>
        <v>405</v>
      </c>
      <c r="I56" s="82">
        <f t="shared" si="1"/>
        <v>247.5</v>
      </c>
      <c r="J56" s="83">
        <f t="shared" si="2"/>
        <v>247.5</v>
      </c>
      <c r="K56" s="90"/>
      <c r="L56" s="90"/>
      <c r="M56" s="90"/>
      <c r="N56" s="90"/>
      <c r="O56" s="90"/>
      <c r="P56" s="90"/>
      <c r="Q56" s="90"/>
      <c r="R56" s="91"/>
      <c r="S56" s="85"/>
      <c r="T56" s="86"/>
      <c r="U56" s="86"/>
      <c r="V56" s="86"/>
      <c r="W56" s="86"/>
    </row>
    <row r="57" spans="1:23" s="87" customFormat="1" ht="15.75" customHeight="1" x14ac:dyDescent="0.35">
      <c r="A57" s="734" t="s">
        <v>780</v>
      </c>
      <c r="B57" s="88" t="s">
        <v>828</v>
      </c>
      <c r="C57" s="97">
        <v>3</v>
      </c>
      <c r="D57" s="781">
        <v>4.5</v>
      </c>
      <c r="E57" s="781">
        <v>5</v>
      </c>
      <c r="F57" s="781">
        <v>1</v>
      </c>
      <c r="G57" s="781">
        <v>30</v>
      </c>
      <c r="H57" s="780">
        <f t="shared" si="0"/>
        <v>405</v>
      </c>
      <c r="I57" s="82">
        <f t="shared" si="1"/>
        <v>247.5</v>
      </c>
      <c r="J57" s="83">
        <f t="shared" si="2"/>
        <v>247.5</v>
      </c>
      <c r="K57" s="90"/>
      <c r="L57" s="90"/>
      <c r="M57" s="90"/>
      <c r="N57" s="90"/>
      <c r="O57" s="90"/>
      <c r="P57" s="90"/>
      <c r="Q57" s="90"/>
      <c r="R57" s="91"/>
      <c r="S57" s="85"/>
      <c r="T57" s="86"/>
      <c r="U57" s="86"/>
      <c r="V57" s="86"/>
      <c r="W57" s="86"/>
    </row>
    <row r="58" spans="1:23" s="87" customFormat="1" ht="15.75" customHeight="1" x14ac:dyDescent="0.35">
      <c r="A58" s="734" t="s">
        <v>782</v>
      </c>
      <c r="B58" s="88" t="s">
        <v>829</v>
      </c>
      <c r="C58" s="97">
        <v>3</v>
      </c>
      <c r="D58" s="781">
        <v>4.5</v>
      </c>
      <c r="E58" s="781">
        <v>5</v>
      </c>
      <c r="F58" s="781">
        <v>1</v>
      </c>
      <c r="G58" s="781">
        <v>30</v>
      </c>
      <c r="H58" s="780">
        <f t="shared" si="0"/>
        <v>405</v>
      </c>
      <c r="I58" s="82">
        <f t="shared" si="1"/>
        <v>247.5</v>
      </c>
      <c r="J58" s="83">
        <f t="shared" si="2"/>
        <v>247.5</v>
      </c>
      <c r="K58" s="90"/>
      <c r="L58" s="90"/>
      <c r="M58" s="90"/>
      <c r="N58" s="90"/>
      <c r="O58" s="90"/>
      <c r="P58" s="90"/>
      <c r="Q58" s="90"/>
      <c r="R58" s="91"/>
      <c r="S58" s="85"/>
      <c r="T58" s="86"/>
      <c r="U58" s="86"/>
      <c r="V58" s="86"/>
      <c r="W58" s="86"/>
    </row>
    <row r="59" spans="1:23" s="87" customFormat="1" ht="15.75" customHeight="1" x14ac:dyDescent="0.35">
      <c r="A59" s="93" t="s">
        <v>112</v>
      </c>
      <c r="B59" s="94" t="s">
        <v>117</v>
      </c>
      <c r="C59" s="97"/>
      <c r="D59" s="781"/>
      <c r="E59" s="781"/>
      <c r="F59" s="781"/>
      <c r="G59" s="781"/>
      <c r="H59" s="781"/>
      <c r="I59" s="98"/>
      <c r="J59" s="83"/>
      <c r="K59" s="90"/>
      <c r="L59" s="90"/>
      <c r="M59" s="90"/>
      <c r="N59" s="90"/>
      <c r="O59" s="90"/>
      <c r="P59" s="90"/>
      <c r="Q59" s="90"/>
      <c r="R59" s="91"/>
      <c r="S59" s="85"/>
      <c r="T59" s="86"/>
      <c r="U59" s="86"/>
      <c r="V59" s="86"/>
      <c r="W59" s="86"/>
    </row>
    <row r="60" spans="1:23" s="87" customFormat="1" ht="15.75" customHeight="1" x14ac:dyDescent="0.35">
      <c r="A60" s="96"/>
      <c r="B60" s="95"/>
      <c r="C60" s="97"/>
      <c r="D60" s="781"/>
      <c r="E60" s="781"/>
      <c r="F60" s="781"/>
      <c r="G60" s="781"/>
      <c r="H60" s="781"/>
      <c r="I60" s="98"/>
      <c r="J60" s="90"/>
      <c r="K60" s="90"/>
      <c r="L60" s="90"/>
      <c r="M60" s="90"/>
      <c r="N60" s="90"/>
      <c r="O60" s="90"/>
      <c r="P60" s="90"/>
      <c r="Q60" s="90"/>
      <c r="R60" s="91"/>
      <c r="S60" s="85"/>
      <c r="T60" s="86"/>
      <c r="U60" s="86"/>
      <c r="V60" s="86"/>
      <c r="W60" s="86"/>
    </row>
    <row r="61" spans="1:23" s="87" customFormat="1" ht="15.75" customHeight="1" x14ac:dyDescent="0.35">
      <c r="A61" s="75">
        <v>3</v>
      </c>
      <c r="B61" s="76" t="s">
        <v>118</v>
      </c>
      <c r="C61" s="97"/>
      <c r="D61" s="781"/>
      <c r="E61" s="781"/>
      <c r="F61" s="781"/>
      <c r="G61" s="781"/>
      <c r="H61" s="781"/>
      <c r="I61" s="98"/>
      <c r="J61" s="90"/>
      <c r="K61" s="90"/>
      <c r="L61" s="90"/>
      <c r="M61" s="90"/>
      <c r="N61" s="90"/>
      <c r="O61" s="90"/>
      <c r="P61" s="90"/>
      <c r="Q61" s="90"/>
      <c r="R61" s="91"/>
      <c r="S61" s="85"/>
      <c r="T61" s="86"/>
      <c r="U61" s="86"/>
      <c r="V61" s="86"/>
      <c r="W61" s="86"/>
    </row>
    <row r="62" spans="1:23" s="87" customFormat="1" ht="15.75" customHeight="1" x14ac:dyDescent="0.35">
      <c r="A62" s="79" t="s">
        <v>103</v>
      </c>
      <c r="B62" s="80" t="s">
        <v>119</v>
      </c>
      <c r="C62" s="97"/>
      <c r="D62" s="781"/>
      <c r="E62" s="781"/>
      <c r="F62" s="781"/>
      <c r="G62" s="781"/>
      <c r="H62" s="781"/>
      <c r="I62" s="98"/>
      <c r="J62" s="90"/>
      <c r="K62" s="90"/>
      <c r="L62" s="90"/>
      <c r="M62" s="90"/>
      <c r="N62" s="90"/>
      <c r="O62" s="90"/>
      <c r="P62" s="90"/>
      <c r="Q62" s="90"/>
      <c r="R62" s="91"/>
      <c r="S62" s="85"/>
      <c r="T62" s="86"/>
      <c r="U62" s="86"/>
      <c r="V62" s="86"/>
      <c r="W62" s="86"/>
    </row>
    <row r="63" spans="1:23" s="87" customFormat="1" ht="15.75" customHeight="1" x14ac:dyDescent="0.35">
      <c r="A63" s="741" t="s">
        <v>105</v>
      </c>
      <c r="B63" s="742" t="s">
        <v>805</v>
      </c>
      <c r="C63" s="97"/>
      <c r="D63" s="781"/>
      <c r="E63" s="781"/>
      <c r="F63" s="781"/>
      <c r="G63" s="781"/>
      <c r="H63" s="781"/>
      <c r="I63" s="98"/>
      <c r="J63" s="90"/>
      <c r="K63" s="90"/>
      <c r="L63" s="90"/>
      <c r="M63" s="90"/>
      <c r="N63" s="90"/>
      <c r="O63" s="90"/>
      <c r="P63" s="90"/>
      <c r="Q63" s="90"/>
      <c r="R63" s="91"/>
      <c r="S63" s="85"/>
      <c r="T63" s="86"/>
      <c r="U63" s="86"/>
      <c r="V63" s="86"/>
      <c r="W63" s="86"/>
    </row>
    <row r="64" spans="1:23" s="87" customFormat="1" ht="15.75" customHeight="1" x14ac:dyDescent="0.35">
      <c r="A64" s="743" t="s">
        <v>107</v>
      </c>
      <c r="B64" s="744" t="s">
        <v>806</v>
      </c>
      <c r="C64" s="97"/>
      <c r="D64" s="781"/>
      <c r="E64" s="781"/>
      <c r="F64" s="781"/>
      <c r="G64" s="781"/>
      <c r="H64" s="781"/>
      <c r="I64" s="98"/>
      <c r="J64" s="90"/>
      <c r="K64" s="90"/>
      <c r="L64" s="90"/>
      <c r="M64" s="90"/>
      <c r="N64" s="90"/>
      <c r="O64" s="90"/>
      <c r="P64" s="90"/>
      <c r="Q64" s="90"/>
      <c r="R64" s="91"/>
      <c r="S64" s="85"/>
      <c r="T64" s="86"/>
      <c r="U64" s="86"/>
      <c r="V64" s="86"/>
      <c r="W64" s="86"/>
    </row>
    <row r="65" spans="1:23" s="87" customFormat="1" ht="15.75" customHeight="1" x14ac:dyDescent="0.35">
      <c r="A65" s="99" t="s">
        <v>112</v>
      </c>
      <c r="B65" s="94" t="s">
        <v>120</v>
      </c>
      <c r="C65" s="97"/>
      <c r="D65" s="781"/>
      <c r="E65" s="781"/>
      <c r="F65" s="781"/>
      <c r="G65" s="781"/>
      <c r="H65" s="781"/>
      <c r="I65" s="98"/>
      <c r="J65" s="90"/>
      <c r="K65" s="90"/>
      <c r="L65" s="90"/>
      <c r="M65" s="90"/>
      <c r="N65" s="90"/>
      <c r="O65" s="90"/>
      <c r="P65" s="90"/>
      <c r="Q65" s="90"/>
      <c r="R65" s="91"/>
      <c r="S65" s="85"/>
      <c r="T65" s="86"/>
      <c r="U65" s="86"/>
      <c r="V65" s="86"/>
      <c r="W65" s="86"/>
    </row>
    <row r="66" spans="1:23" s="87" customFormat="1" ht="15.75" customHeight="1" x14ac:dyDescent="0.35">
      <c r="A66" s="96"/>
      <c r="B66" s="745" t="s">
        <v>809</v>
      </c>
      <c r="C66" s="97">
        <v>3</v>
      </c>
      <c r="D66" s="781">
        <v>2</v>
      </c>
      <c r="E66" s="781"/>
      <c r="F66" s="781">
        <v>1</v>
      </c>
      <c r="G66" s="781">
        <v>3</v>
      </c>
      <c r="H66" s="781"/>
      <c r="I66" s="98">
        <f>C66*D66*F66*16.5</f>
        <v>99</v>
      </c>
      <c r="J66" s="90"/>
      <c r="K66" s="90"/>
      <c r="L66" s="90"/>
      <c r="M66" s="90"/>
      <c r="N66" s="90"/>
      <c r="O66" s="90"/>
      <c r="P66" s="90"/>
      <c r="Q66" s="90"/>
      <c r="R66" s="91"/>
      <c r="S66" s="85"/>
      <c r="T66" s="86"/>
      <c r="U66" s="86"/>
      <c r="V66" s="86"/>
      <c r="W66" s="86"/>
    </row>
    <row r="67" spans="1:23" s="87" customFormat="1" ht="15.75" customHeight="1" x14ac:dyDescent="0.35">
      <c r="A67" s="96"/>
      <c r="B67" s="745" t="s">
        <v>810</v>
      </c>
      <c r="C67" s="97">
        <v>3</v>
      </c>
      <c r="D67" s="781">
        <v>2</v>
      </c>
      <c r="E67" s="781"/>
      <c r="F67" s="781">
        <v>1</v>
      </c>
      <c r="G67" s="781">
        <v>3</v>
      </c>
      <c r="H67" s="781"/>
      <c r="I67" s="98">
        <f t="shared" ref="I67:I68" si="5">C67*D67*F67*16.5</f>
        <v>99</v>
      </c>
      <c r="J67" s="90"/>
      <c r="K67" s="90"/>
      <c r="L67" s="90"/>
      <c r="M67" s="90"/>
      <c r="N67" s="90"/>
      <c r="O67" s="90"/>
      <c r="P67" s="90"/>
      <c r="Q67" s="90"/>
      <c r="R67" s="91"/>
      <c r="S67" s="85"/>
      <c r="T67" s="86"/>
      <c r="U67" s="86"/>
      <c r="V67" s="86"/>
      <c r="W67" s="86"/>
    </row>
    <row r="68" spans="1:23" s="87" customFormat="1" ht="15.75" customHeight="1" x14ac:dyDescent="0.35">
      <c r="A68" s="96"/>
      <c r="B68" s="745" t="s">
        <v>811</v>
      </c>
      <c r="C68" s="97">
        <v>3</v>
      </c>
      <c r="D68" s="781">
        <v>2</v>
      </c>
      <c r="E68" s="781"/>
      <c r="F68" s="781">
        <v>1</v>
      </c>
      <c r="G68" s="781">
        <v>3</v>
      </c>
      <c r="H68" s="781"/>
      <c r="I68" s="98">
        <f t="shared" si="5"/>
        <v>99</v>
      </c>
      <c r="J68" s="90"/>
      <c r="K68" s="90"/>
      <c r="L68" s="90"/>
      <c r="M68" s="90"/>
      <c r="N68" s="90"/>
      <c r="O68" s="90"/>
      <c r="P68" s="90"/>
      <c r="Q68" s="90"/>
      <c r="R68" s="91"/>
      <c r="S68" s="85"/>
      <c r="T68" s="86"/>
      <c r="U68" s="86"/>
      <c r="V68" s="86"/>
      <c r="W68" s="86"/>
    </row>
    <row r="69" spans="1:23" s="87" customFormat="1" ht="21.75" customHeight="1" x14ac:dyDescent="0.35">
      <c r="A69" s="99" t="s">
        <v>121</v>
      </c>
      <c r="B69" s="94" t="s">
        <v>122</v>
      </c>
      <c r="C69" s="97">
        <v>15</v>
      </c>
      <c r="D69" s="781"/>
      <c r="E69" s="781"/>
      <c r="F69" s="781"/>
      <c r="G69" s="781">
        <v>3</v>
      </c>
      <c r="H69" s="781"/>
      <c r="I69" s="98">
        <f>C69*G69*16.5</f>
        <v>742.5</v>
      </c>
      <c r="J69" s="90"/>
      <c r="K69" s="90"/>
      <c r="L69" s="90"/>
      <c r="M69" s="90"/>
      <c r="N69" s="90"/>
      <c r="O69" s="90"/>
      <c r="P69" s="90"/>
      <c r="Q69" s="90"/>
      <c r="R69" s="91"/>
      <c r="S69" s="85"/>
      <c r="T69" s="86"/>
      <c r="U69" s="86"/>
      <c r="V69" s="86"/>
      <c r="W69" s="86"/>
    </row>
    <row r="70" spans="1:23" s="87" customFormat="1" ht="15.75" customHeight="1" x14ac:dyDescent="0.35">
      <c r="A70" s="96"/>
      <c r="B70" s="95"/>
      <c r="C70" s="97"/>
      <c r="D70" s="781"/>
      <c r="E70" s="781"/>
      <c r="F70" s="781"/>
      <c r="G70" s="781"/>
      <c r="H70" s="781"/>
      <c r="I70" s="98"/>
      <c r="J70" s="90"/>
      <c r="K70" s="90"/>
      <c r="L70" s="90"/>
      <c r="M70" s="90"/>
      <c r="N70" s="90"/>
      <c r="O70" s="90"/>
      <c r="P70" s="90"/>
      <c r="Q70" s="90"/>
      <c r="R70" s="91"/>
      <c r="S70" s="85"/>
      <c r="T70" s="86"/>
      <c r="U70" s="86"/>
      <c r="V70" s="86"/>
      <c r="W70" s="86"/>
    </row>
    <row r="71" spans="1:23" s="87" customFormat="1" ht="15.75" customHeight="1" x14ac:dyDescent="0.35">
      <c r="A71" s="96"/>
      <c r="B71" s="95"/>
      <c r="C71" s="97"/>
      <c r="D71" s="781"/>
      <c r="E71" s="781"/>
      <c r="F71" s="781"/>
      <c r="G71" s="781"/>
      <c r="H71" s="781"/>
      <c r="I71" s="98"/>
      <c r="J71" s="90"/>
      <c r="K71" s="90"/>
      <c r="L71" s="90"/>
      <c r="M71" s="90"/>
      <c r="N71" s="90"/>
      <c r="O71" s="90"/>
      <c r="P71" s="90"/>
      <c r="Q71" s="90"/>
      <c r="R71" s="91"/>
      <c r="S71" s="85"/>
      <c r="T71" s="86"/>
      <c r="U71" s="86"/>
      <c r="V71" s="86"/>
      <c r="W71" s="86"/>
    </row>
    <row r="72" spans="1:23" s="87" customFormat="1" ht="36" customHeight="1" x14ac:dyDescent="0.35">
      <c r="A72" s="71" t="s">
        <v>41</v>
      </c>
      <c r="B72" s="72" t="s">
        <v>123</v>
      </c>
      <c r="C72" s="100"/>
      <c r="D72" s="101"/>
      <c r="E72" s="101"/>
      <c r="F72" s="101"/>
      <c r="G72" s="101"/>
      <c r="H72" s="101"/>
      <c r="I72" s="101"/>
      <c r="J72" s="102"/>
      <c r="K72" s="102"/>
      <c r="L72" s="102"/>
      <c r="M72" s="102"/>
      <c r="N72" s="102"/>
      <c r="O72" s="102"/>
      <c r="P72" s="102"/>
      <c r="Q72" s="102"/>
      <c r="R72" s="103"/>
      <c r="S72" s="85"/>
      <c r="T72" s="86"/>
      <c r="U72" s="86"/>
      <c r="V72" s="86"/>
      <c r="W72" s="86"/>
    </row>
    <row r="73" spans="1:23" s="87" customFormat="1" ht="15.75" customHeight="1" x14ac:dyDescent="0.35">
      <c r="A73" s="75">
        <v>1</v>
      </c>
      <c r="B73" s="80" t="s">
        <v>124</v>
      </c>
      <c r="C73" s="104"/>
      <c r="D73" s="98"/>
      <c r="E73" s="98"/>
      <c r="F73" s="98"/>
      <c r="G73" s="98"/>
      <c r="H73" s="98"/>
      <c r="I73" s="98"/>
      <c r="J73" s="90"/>
      <c r="K73" s="90"/>
      <c r="L73" s="90"/>
      <c r="M73" s="90"/>
      <c r="N73" s="90"/>
      <c r="O73" s="90"/>
      <c r="P73" s="90"/>
      <c r="Q73" s="90"/>
      <c r="R73" s="91"/>
      <c r="S73" s="85"/>
      <c r="T73" s="86"/>
      <c r="U73" s="86"/>
      <c r="V73" s="86"/>
      <c r="W73" s="86"/>
    </row>
    <row r="74" spans="1:23" s="87" customFormat="1" ht="15.75" customHeight="1" x14ac:dyDescent="0.35">
      <c r="A74" s="75" t="s">
        <v>103</v>
      </c>
      <c r="B74" s="80" t="s">
        <v>125</v>
      </c>
      <c r="C74" s="104"/>
      <c r="D74" s="98"/>
      <c r="E74" s="98"/>
      <c r="F74" s="98"/>
      <c r="G74" s="98"/>
      <c r="H74" s="98"/>
      <c r="I74" s="98"/>
      <c r="J74" s="90"/>
      <c r="K74" s="90"/>
      <c r="L74" s="90"/>
      <c r="M74" s="90"/>
      <c r="N74" s="90"/>
      <c r="O74" s="90"/>
      <c r="P74" s="90"/>
      <c r="Q74" s="90"/>
      <c r="R74" s="91"/>
      <c r="S74" s="85"/>
      <c r="T74" s="86"/>
      <c r="U74" s="86"/>
      <c r="V74" s="86"/>
      <c r="W74" s="86"/>
    </row>
    <row r="75" spans="1:23" s="87" customFormat="1" ht="15.75" customHeight="1" x14ac:dyDescent="0.35">
      <c r="A75" s="741" t="s">
        <v>105</v>
      </c>
      <c r="B75" s="746" t="s">
        <v>759</v>
      </c>
      <c r="C75" s="104"/>
      <c r="D75" s="98"/>
      <c r="E75" s="98">
        <v>1</v>
      </c>
      <c r="F75" s="98"/>
      <c r="G75" s="98"/>
      <c r="H75" s="98"/>
      <c r="I75" s="98"/>
      <c r="J75" s="90"/>
      <c r="K75" s="90"/>
      <c r="L75" s="90"/>
      <c r="M75" s="90"/>
      <c r="N75" s="90"/>
      <c r="O75" s="90"/>
      <c r="P75" s="90"/>
      <c r="Q75" s="90"/>
      <c r="R75" s="91"/>
      <c r="S75" s="85"/>
      <c r="T75" s="86"/>
      <c r="U75" s="86"/>
      <c r="V75" s="86"/>
      <c r="W75" s="86"/>
    </row>
    <row r="76" spans="1:23" s="87" customFormat="1" ht="15.75" customHeight="1" x14ac:dyDescent="0.35">
      <c r="A76" s="741" t="s">
        <v>107</v>
      </c>
      <c r="B76" s="735" t="s">
        <v>807</v>
      </c>
      <c r="C76" s="104"/>
      <c r="D76" s="98"/>
      <c r="E76" s="98">
        <v>1</v>
      </c>
      <c r="F76" s="98"/>
      <c r="G76" s="98"/>
      <c r="H76" s="98"/>
      <c r="I76" s="98"/>
      <c r="J76" s="90"/>
      <c r="K76" s="90"/>
      <c r="L76" s="90"/>
      <c r="M76" s="90"/>
      <c r="N76" s="90"/>
      <c r="O76" s="90"/>
      <c r="P76" s="90"/>
      <c r="Q76" s="90"/>
      <c r="R76" s="91"/>
      <c r="S76" s="85"/>
      <c r="T76" s="86"/>
      <c r="U76" s="86"/>
      <c r="V76" s="86"/>
      <c r="W76" s="86"/>
    </row>
    <row r="77" spans="1:23" s="87" customFormat="1" ht="15.75" customHeight="1" x14ac:dyDescent="0.35">
      <c r="A77" s="93" t="s">
        <v>112</v>
      </c>
      <c r="B77" s="94" t="s">
        <v>126</v>
      </c>
      <c r="C77" s="104"/>
      <c r="D77" s="98"/>
      <c r="E77" s="98"/>
      <c r="F77" s="98"/>
      <c r="G77" s="98"/>
      <c r="H77" s="98"/>
      <c r="I77" s="98"/>
      <c r="J77" s="90"/>
      <c r="K77" s="90"/>
      <c r="L77" s="90"/>
      <c r="M77" s="90"/>
      <c r="N77" s="90"/>
      <c r="O77" s="90"/>
      <c r="P77" s="90"/>
      <c r="Q77" s="90"/>
      <c r="R77" s="91"/>
      <c r="S77" s="85"/>
      <c r="T77" s="86"/>
      <c r="U77" s="86"/>
      <c r="V77" s="86"/>
      <c r="W77" s="86"/>
    </row>
    <row r="78" spans="1:23" s="87" customFormat="1" ht="15.75" customHeight="1" x14ac:dyDescent="0.35">
      <c r="A78" s="92" t="s">
        <v>114</v>
      </c>
      <c r="B78" s="95"/>
      <c r="C78" s="107"/>
      <c r="D78" s="82"/>
      <c r="E78" s="82"/>
      <c r="F78" s="82"/>
      <c r="G78" s="82"/>
      <c r="H78" s="82"/>
      <c r="I78" s="98"/>
      <c r="J78" s="90"/>
      <c r="K78" s="90"/>
      <c r="L78" s="90"/>
      <c r="M78" s="90"/>
      <c r="N78" s="90"/>
      <c r="O78" s="90"/>
      <c r="P78" s="90"/>
      <c r="Q78" s="90"/>
      <c r="R78" s="91"/>
      <c r="S78" s="85"/>
      <c r="T78" s="86"/>
      <c r="U78" s="86"/>
      <c r="V78" s="86"/>
      <c r="W78" s="86"/>
    </row>
    <row r="79" spans="1:23" s="87" customFormat="1" ht="15.75" customHeight="1" x14ac:dyDescent="0.35">
      <c r="A79" s="92" t="s">
        <v>115</v>
      </c>
      <c r="B79" s="95"/>
      <c r="C79" s="104"/>
      <c r="D79" s="98"/>
      <c r="E79" s="98"/>
      <c r="F79" s="98"/>
      <c r="G79" s="98"/>
      <c r="H79" s="98"/>
      <c r="I79" s="98"/>
      <c r="J79" s="90"/>
      <c r="K79" s="90"/>
      <c r="L79" s="90"/>
      <c r="M79" s="90"/>
      <c r="N79" s="90"/>
      <c r="O79" s="90"/>
      <c r="P79" s="90"/>
      <c r="Q79" s="90"/>
      <c r="R79" s="91"/>
      <c r="S79" s="85"/>
      <c r="T79" s="86"/>
      <c r="U79" s="86"/>
      <c r="V79" s="86"/>
      <c r="W79" s="86"/>
    </row>
    <row r="80" spans="1:23" s="87" customFormat="1" ht="15.75" customHeight="1" x14ac:dyDescent="0.35">
      <c r="A80" s="92"/>
      <c r="B80" s="95"/>
      <c r="C80" s="108"/>
      <c r="D80" s="98"/>
      <c r="E80" s="98"/>
      <c r="F80" s="98"/>
      <c r="G80" s="98"/>
      <c r="H80" s="98"/>
      <c r="I80" s="98"/>
      <c r="J80" s="90"/>
      <c r="K80" s="90"/>
      <c r="L80" s="90"/>
      <c r="M80" s="90"/>
      <c r="N80" s="90"/>
      <c r="O80" s="90"/>
      <c r="P80" s="90"/>
      <c r="Q80" s="90"/>
      <c r="R80" s="91"/>
      <c r="S80" s="85"/>
      <c r="T80" s="86"/>
      <c r="U80" s="86"/>
      <c r="V80" s="86"/>
      <c r="W80" s="86"/>
    </row>
    <row r="81" spans="1:23" s="87" customFormat="1" ht="15.75" customHeight="1" x14ac:dyDescent="0.35">
      <c r="A81" s="75">
        <v>2</v>
      </c>
      <c r="B81" s="76" t="s">
        <v>127</v>
      </c>
      <c r="C81" s="108"/>
      <c r="D81" s="98"/>
      <c r="E81" s="98"/>
      <c r="F81" s="98"/>
      <c r="G81" s="98"/>
      <c r="H81" s="98"/>
      <c r="I81" s="98"/>
      <c r="J81" s="90"/>
      <c r="K81" s="90"/>
      <c r="L81" s="90"/>
      <c r="M81" s="90"/>
      <c r="N81" s="90"/>
      <c r="O81" s="90"/>
      <c r="P81" s="90"/>
      <c r="Q81" s="90"/>
      <c r="R81" s="91"/>
      <c r="S81" s="85"/>
      <c r="T81" s="86"/>
      <c r="U81" s="86"/>
      <c r="V81" s="86"/>
      <c r="W81" s="86"/>
    </row>
    <row r="82" spans="1:23" s="87" customFormat="1" ht="15.75" customHeight="1" x14ac:dyDescent="0.35">
      <c r="A82" s="75" t="s">
        <v>103</v>
      </c>
      <c r="B82" s="747" t="s">
        <v>128</v>
      </c>
      <c r="C82" s="108"/>
      <c r="D82" s="98"/>
      <c r="E82" s="98"/>
      <c r="F82" s="98"/>
      <c r="G82" s="98"/>
      <c r="H82" s="98"/>
      <c r="I82" s="98"/>
      <c r="J82" s="90"/>
      <c r="K82" s="90"/>
      <c r="L82" s="90"/>
      <c r="M82" s="90"/>
      <c r="N82" s="90"/>
      <c r="O82" s="90"/>
      <c r="P82" s="90"/>
      <c r="Q82" s="90"/>
      <c r="R82" s="91"/>
      <c r="S82" s="85"/>
      <c r="T82" s="86"/>
      <c r="U82" s="86"/>
      <c r="V82" s="86"/>
      <c r="W82" s="86"/>
    </row>
    <row r="83" spans="1:23" s="87" customFormat="1" ht="15.75" customHeight="1" x14ac:dyDescent="0.35">
      <c r="A83" s="105" t="s">
        <v>105</v>
      </c>
      <c r="B83" s="748" t="s">
        <v>106</v>
      </c>
      <c r="C83" s="108"/>
      <c r="D83" s="98"/>
      <c r="E83" s="98"/>
      <c r="F83" s="98"/>
      <c r="G83" s="98"/>
      <c r="H83" s="98"/>
      <c r="I83" s="98"/>
      <c r="J83" s="90"/>
      <c r="K83" s="90"/>
      <c r="L83" s="90"/>
      <c r="M83" s="90"/>
      <c r="N83" s="90"/>
      <c r="O83" s="90"/>
      <c r="P83" s="90"/>
      <c r="Q83" s="90"/>
      <c r="R83" s="91"/>
      <c r="S83" s="85"/>
      <c r="T83" s="86"/>
      <c r="U83" s="86"/>
      <c r="V83" s="86"/>
      <c r="W83" s="86"/>
    </row>
    <row r="84" spans="1:23" s="87" customFormat="1" ht="15.75" customHeight="1" x14ac:dyDescent="0.35">
      <c r="A84" s="106" t="s">
        <v>107</v>
      </c>
      <c r="B84" s="748" t="s">
        <v>106</v>
      </c>
      <c r="C84" s="108"/>
      <c r="D84" s="98"/>
      <c r="E84" s="98"/>
      <c r="F84" s="98"/>
      <c r="G84" s="98"/>
      <c r="H84" s="98"/>
      <c r="I84" s="98"/>
      <c r="J84" s="90"/>
      <c r="K84" s="90"/>
      <c r="L84" s="90"/>
      <c r="M84" s="90"/>
      <c r="N84" s="90"/>
      <c r="O84" s="90"/>
      <c r="P84" s="90"/>
      <c r="Q84" s="90"/>
      <c r="R84" s="91"/>
      <c r="S84" s="85"/>
      <c r="T84" s="86"/>
      <c r="U84" s="86"/>
      <c r="V84" s="86"/>
      <c r="W84" s="86"/>
    </row>
    <row r="85" spans="1:23" s="87" customFormat="1" ht="15.75" customHeight="1" x14ac:dyDescent="0.35">
      <c r="A85" s="92" t="s">
        <v>108</v>
      </c>
      <c r="B85" s="748" t="s">
        <v>106</v>
      </c>
      <c r="C85" s="108"/>
      <c r="D85" s="98"/>
      <c r="E85" s="98"/>
      <c r="F85" s="98"/>
      <c r="G85" s="98"/>
      <c r="H85" s="98"/>
      <c r="I85" s="98"/>
      <c r="J85" s="90"/>
      <c r="K85" s="90"/>
      <c r="L85" s="90"/>
      <c r="M85" s="90"/>
      <c r="N85" s="90"/>
      <c r="O85" s="90"/>
      <c r="P85" s="90"/>
      <c r="Q85" s="90"/>
      <c r="R85" s="91"/>
      <c r="S85" s="85"/>
      <c r="T85" s="86"/>
      <c r="U85" s="86"/>
      <c r="V85" s="86"/>
      <c r="W85" s="86"/>
    </row>
    <row r="86" spans="1:23" s="87" customFormat="1" ht="15.75" customHeight="1" x14ac:dyDescent="0.35">
      <c r="A86" s="96" t="s">
        <v>109</v>
      </c>
      <c r="B86" s="88" t="s">
        <v>106</v>
      </c>
      <c r="C86" s="108"/>
      <c r="D86" s="98"/>
      <c r="E86" s="98"/>
      <c r="F86" s="98"/>
      <c r="G86" s="98"/>
      <c r="H86" s="98"/>
      <c r="I86" s="98"/>
      <c r="J86" s="90"/>
      <c r="K86" s="90"/>
      <c r="L86" s="90"/>
      <c r="M86" s="90"/>
      <c r="N86" s="90"/>
      <c r="O86" s="90"/>
      <c r="P86" s="90"/>
      <c r="Q86" s="90"/>
      <c r="R86" s="91"/>
      <c r="S86" s="85"/>
      <c r="T86" s="86"/>
      <c r="U86" s="86"/>
      <c r="V86" s="86"/>
      <c r="W86" s="86"/>
    </row>
    <row r="87" spans="1:23" s="87" customFormat="1" ht="15.75" customHeight="1" x14ac:dyDescent="0.35">
      <c r="A87" s="106" t="s">
        <v>110</v>
      </c>
      <c r="B87" s="88" t="s">
        <v>106</v>
      </c>
      <c r="C87" s="108"/>
      <c r="D87" s="98"/>
      <c r="E87" s="98"/>
      <c r="F87" s="98"/>
      <c r="G87" s="98"/>
      <c r="H87" s="98"/>
      <c r="I87" s="98"/>
      <c r="J87" s="90"/>
      <c r="K87" s="90"/>
      <c r="L87" s="90"/>
      <c r="M87" s="90"/>
      <c r="N87" s="90"/>
      <c r="O87" s="90"/>
      <c r="P87" s="90"/>
      <c r="Q87" s="90"/>
      <c r="R87" s="91"/>
      <c r="S87" s="85"/>
      <c r="T87" s="86"/>
      <c r="U87" s="86"/>
      <c r="V87" s="86"/>
      <c r="W87" s="86"/>
    </row>
    <row r="88" spans="1:23" s="87" customFormat="1" ht="15.75" customHeight="1" x14ac:dyDescent="0.35">
      <c r="A88" s="109" t="s">
        <v>112</v>
      </c>
      <c r="B88" s="95"/>
      <c r="C88" s="108"/>
      <c r="D88" s="98"/>
      <c r="E88" s="98"/>
      <c r="F88" s="98"/>
      <c r="G88" s="98"/>
      <c r="H88" s="98"/>
      <c r="I88" s="98"/>
      <c r="J88" s="90"/>
      <c r="K88" s="90"/>
      <c r="L88" s="90"/>
      <c r="M88" s="90"/>
      <c r="N88" s="90"/>
      <c r="O88" s="90"/>
      <c r="P88" s="90"/>
      <c r="Q88" s="90"/>
      <c r="R88" s="91"/>
      <c r="S88" s="85"/>
      <c r="T88" s="86"/>
      <c r="U88" s="86"/>
      <c r="V88" s="86"/>
      <c r="W88" s="86"/>
    </row>
    <row r="89" spans="1:23" s="87" customFormat="1" ht="26" x14ac:dyDescent="0.35">
      <c r="A89" s="110" t="s">
        <v>129</v>
      </c>
      <c r="B89" s="68" t="s">
        <v>473</v>
      </c>
      <c r="C89" s="108"/>
      <c r="D89" s="98"/>
      <c r="E89" s="98"/>
      <c r="F89" s="98"/>
      <c r="G89" s="98"/>
      <c r="H89" s="98"/>
      <c r="I89" s="98"/>
      <c r="J89" s="90"/>
      <c r="K89" s="90"/>
      <c r="L89" s="90"/>
      <c r="M89" s="90"/>
      <c r="N89" s="90"/>
      <c r="O89" s="90"/>
      <c r="P89" s="90"/>
      <c r="Q89" s="90"/>
      <c r="R89" s="91"/>
      <c r="S89" s="85"/>
      <c r="T89" s="86"/>
      <c r="U89" s="86"/>
      <c r="V89" s="86"/>
      <c r="W89" s="86"/>
    </row>
    <row r="90" spans="1:23" s="87" customFormat="1" ht="15.75" customHeight="1" x14ac:dyDescent="0.35">
      <c r="A90" s="111"/>
      <c r="B90" s="112"/>
      <c r="C90" s="113"/>
      <c r="D90" s="114"/>
      <c r="E90" s="114"/>
      <c r="F90" s="114"/>
      <c r="G90" s="114"/>
      <c r="H90" s="114"/>
      <c r="I90" s="114"/>
      <c r="J90" s="115"/>
      <c r="K90" s="115"/>
      <c r="L90" s="115"/>
      <c r="M90" s="115"/>
      <c r="N90" s="115"/>
      <c r="O90" s="115"/>
      <c r="P90" s="115"/>
      <c r="Q90" s="115"/>
      <c r="R90" s="116"/>
      <c r="S90" s="85"/>
      <c r="T90" s="86"/>
      <c r="U90" s="86"/>
      <c r="V90" s="86"/>
      <c r="W90" s="86"/>
    </row>
    <row r="91" spans="1:23" s="87" customFormat="1" ht="15.75" customHeight="1" x14ac:dyDescent="0.35">
      <c r="A91" s="111"/>
      <c r="B91" s="112"/>
      <c r="C91" s="113"/>
      <c r="D91" s="114"/>
      <c r="E91" s="114"/>
      <c r="F91" s="114"/>
      <c r="G91" s="114"/>
      <c r="H91" s="114"/>
      <c r="I91" s="114"/>
      <c r="J91" s="115"/>
      <c r="K91" s="115"/>
      <c r="L91" s="115"/>
      <c r="M91" s="115"/>
      <c r="N91" s="115"/>
      <c r="O91" s="115"/>
      <c r="P91" s="115"/>
      <c r="Q91" s="115"/>
      <c r="R91" s="116"/>
      <c r="S91" s="85"/>
      <c r="T91" s="86"/>
      <c r="U91" s="86"/>
      <c r="V91" s="86"/>
      <c r="W91" s="86"/>
    </row>
    <row r="92" spans="1:23" s="123" customFormat="1" ht="20.25" customHeight="1" x14ac:dyDescent="0.35">
      <c r="A92" s="117" t="s">
        <v>130</v>
      </c>
      <c r="B92" s="118" t="s">
        <v>131</v>
      </c>
      <c r="C92" s="119"/>
      <c r="D92" s="126"/>
      <c r="E92" s="126"/>
      <c r="F92" s="787">
        <f>F89+F10</f>
        <v>0</v>
      </c>
      <c r="G92" s="787"/>
      <c r="H92" s="126"/>
      <c r="I92" s="120">
        <f t="shared" ref="I92:Q92" si="6">I89+I10</f>
        <v>0</v>
      </c>
      <c r="J92" s="120">
        <f t="shared" si="6"/>
        <v>0</v>
      </c>
      <c r="K92" s="120">
        <f t="shared" si="6"/>
        <v>0</v>
      </c>
      <c r="L92" s="120">
        <f t="shared" si="6"/>
        <v>0</v>
      </c>
      <c r="M92" s="120">
        <f t="shared" si="6"/>
        <v>0</v>
      </c>
      <c r="N92" s="120">
        <f t="shared" si="6"/>
        <v>0</v>
      </c>
      <c r="O92" s="120">
        <f t="shared" si="6"/>
        <v>0</v>
      </c>
      <c r="P92" s="120">
        <f t="shared" si="6"/>
        <v>0</v>
      </c>
      <c r="Q92" s="120">
        <f t="shared" si="6"/>
        <v>0</v>
      </c>
      <c r="R92" s="121"/>
      <c r="S92" s="122"/>
      <c r="T92" s="41"/>
      <c r="U92" s="41"/>
      <c r="V92" s="41"/>
      <c r="W92" s="41"/>
    </row>
    <row r="93" spans="1:23" s="123" customFormat="1" ht="20.25" customHeight="1" x14ac:dyDescent="0.35">
      <c r="A93" s="124" t="s">
        <v>19</v>
      </c>
      <c r="B93" s="125" t="s">
        <v>132</v>
      </c>
      <c r="C93" s="119" t="s">
        <v>133</v>
      </c>
      <c r="D93" s="126"/>
      <c r="E93" s="126"/>
      <c r="F93" s="126"/>
      <c r="G93" s="126"/>
      <c r="H93" s="126"/>
      <c r="I93" s="126"/>
      <c r="J93" s="127"/>
      <c r="K93" s="127"/>
      <c r="L93" s="127"/>
      <c r="M93" s="127"/>
      <c r="N93" s="127"/>
      <c r="O93" s="127"/>
      <c r="P93" s="127"/>
      <c r="Q93" s="127"/>
      <c r="R93" s="121"/>
      <c r="S93" s="122"/>
      <c r="T93" s="41"/>
      <c r="U93" s="41"/>
      <c r="V93" s="41"/>
      <c r="W93" s="41"/>
    </row>
    <row r="94" spans="1:23" s="123" customFormat="1" ht="20.25" customHeight="1" x14ac:dyDescent="0.35">
      <c r="A94" s="117" t="s">
        <v>41</v>
      </c>
      <c r="B94" s="125" t="s">
        <v>134</v>
      </c>
      <c r="C94" s="119" t="s">
        <v>133</v>
      </c>
      <c r="D94" s="126"/>
      <c r="E94" s="126"/>
      <c r="F94" s="126"/>
      <c r="G94" s="126"/>
      <c r="H94" s="126"/>
      <c r="I94" s="126"/>
      <c r="J94" s="127"/>
      <c r="K94" s="127"/>
      <c r="L94" s="127"/>
      <c r="M94" s="127"/>
      <c r="N94" s="127"/>
      <c r="O94" s="127"/>
      <c r="P94" s="127"/>
      <c r="Q94" s="127"/>
      <c r="R94" s="121"/>
      <c r="S94" s="122"/>
      <c r="T94" s="41"/>
      <c r="U94" s="41"/>
      <c r="V94" s="41"/>
      <c r="W94" s="41"/>
    </row>
    <row r="95" spans="1:23" s="123" customFormat="1" ht="20.25" customHeight="1" x14ac:dyDescent="0.35">
      <c r="A95" s="117" t="s">
        <v>70</v>
      </c>
      <c r="B95" s="118" t="s">
        <v>118</v>
      </c>
      <c r="C95" s="119" t="s">
        <v>133</v>
      </c>
      <c r="D95" s="126"/>
      <c r="E95" s="126"/>
      <c r="F95" s="126"/>
      <c r="G95" s="126"/>
      <c r="H95" s="126"/>
      <c r="I95" s="126"/>
      <c r="J95" s="127"/>
      <c r="K95" s="127"/>
      <c r="L95" s="127"/>
      <c r="M95" s="127"/>
      <c r="N95" s="127"/>
      <c r="O95" s="127"/>
      <c r="P95" s="127"/>
      <c r="Q95" s="127"/>
      <c r="R95" s="121"/>
      <c r="S95" s="122"/>
      <c r="T95" s="41"/>
      <c r="U95" s="41"/>
      <c r="V95" s="41"/>
      <c r="W95" s="41"/>
    </row>
    <row r="96" spans="1:23" s="123" customFormat="1" ht="20.25" customHeight="1" x14ac:dyDescent="0.35">
      <c r="A96" s="128"/>
      <c r="B96" s="129"/>
      <c r="C96" s="119"/>
      <c r="D96" s="126"/>
      <c r="E96" s="126"/>
      <c r="F96" s="126"/>
      <c r="G96" s="126"/>
      <c r="H96" s="126"/>
      <c r="I96" s="126"/>
      <c r="J96" s="127"/>
      <c r="K96" s="127"/>
      <c r="L96" s="127"/>
      <c r="M96" s="127"/>
      <c r="N96" s="127"/>
      <c r="O96" s="127"/>
      <c r="P96" s="127"/>
      <c r="Q96" s="127"/>
      <c r="R96" s="121"/>
      <c r="S96" s="122"/>
      <c r="T96" s="41"/>
      <c r="U96" s="41"/>
      <c r="V96" s="41"/>
      <c r="W96" s="41"/>
    </row>
    <row r="97" spans="1:23" s="123" customFormat="1" ht="20.25" customHeight="1" x14ac:dyDescent="0.35">
      <c r="A97" s="124"/>
      <c r="B97" s="125" t="s">
        <v>135</v>
      </c>
      <c r="C97" s="119" t="s">
        <v>133</v>
      </c>
      <c r="D97" s="126"/>
      <c r="E97" s="126"/>
      <c r="F97" s="126"/>
      <c r="G97" s="126"/>
      <c r="H97" s="126"/>
      <c r="I97" s="126"/>
      <c r="J97" s="127"/>
      <c r="K97" s="127"/>
      <c r="L97" s="127"/>
      <c r="M97" s="127"/>
      <c r="N97" s="127"/>
      <c r="O97" s="127"/>
      <c r="P97" s="127"/>
      <c r="Q97" s="127"/>
      <c r="R97" s="121"/>
      <c r="S97" s="122"/>
      <c r="T97" s="41"/>
      <c r="U97" s="41"/>
      <c r="V97" s="41"/>
      <c r="W97" s="41"/>
    </row>
    <row r="98" spans="1:23" s="123" customFormat="1" ht="20.25" customHeight="1" x14ac:dyDescent="0.35">
      <c r="A98" s="124"/>
      <c r="B98" s="125" t="s">
        <v>136</v>
      </c>
      <c r="C98" s="119" t="s">
        <v>133</v>
      </c>
      <c r="D98" s="126"/>
      <c r="E98" s="126"/>
      <c r="F98" s="126"/>
      <c r="G98" s="126"/>
      <c r="H98" s="126"/>
      <c r="I98" s="126"/>
      <c r="J98" s="127"/>
      <c r="K98" s="127"/>
      <c r="L98" s="127"/>
      <c r="M98" s="127"/>
      <c r="N98" s="127"/>
      <c r="O98" s="127"/>
      <c r="P98" s="127"/>
      <c r="Q98" s="127"/>
      <c r="R98" s="121"/>
      <c r="S98" s="122"/>
      <c r="T98" s="41"/>
      <c r="U98" s="41"/>
      <c r="V98" s="41"/>
      <c r="W98" s="41"/>
    </row>
    <row r="99" spans="1:23" s="123" customFormat="1" ht="20.25" customHeight="1" x14ac:dyDescent="0.35">
      <c r="A99" s="128"/>
      <c r="B99" s="125" t="s">
        <v>137</v>
      </c>
      <c r="C99" s="119"/>
      <c r="D99" s="126"/>
      <c r="E99" s="126"/>
      <c r="F99" s="126"/>
      <c r="G99" s="126"/>
      <c r="H99" s="126"/>
      <c r="I99" s="126"/>
      <c r="J99" s="127"/>
      <c r="K99" s="127"/>
      <c r="L99" s="127"/>
      <c r="M99" s="127"/>
      <c r="N99" s="127"/>
      <c r="O99" s="127"/>
      <c r="P99" s="127"/>
      <c r="Q99" s="127"/>
      <c r="R99" s="121"/>
      <c r="S99" s="122"/>
      <c r="T99" s="41"/>
      <c r="U99" s="41"/>
      <c r="V99" s="41"/>
      <c r="W99" s="41"/>
    </row>
    <row r="100" spans="1:23" s="123" customFormat="1" ht="20.25" customHeight="1" x14ac:dyDescent="0.35">
      <c r="A100" s="128"/>
      <c r="B100" s="125" t="s">
        <v>138</v>
      </c>
      <c r="C100" s="119"/>
      <c r="D100" s="126"/>
      <c r="E100" s="126"/>
      <c r="F100" s="126"/>
      <c r="G100" s="126"/>
      <c r="H100" s="126"/>
      <c r="I100" s="126"/>
      <c r="J100" s="127"/>
      <c r="K100" s="127"/>
      <c r="L100" s="127"/>
      <c r="M100" s="127"/>
      <c r="N100" s="127"/>
      <c r="O100" s="127"/>
      <c r="P100" s="127"/>
      <c r="Q100" s="127"/>
      <c r="R100" s="121"/>
      <c r="S100" s="122"/>
      <c r="T100" s="41"/>
      <c r="U100" s="41"/>
      <c r="V100" s="41"/>
      <c r="W100" s="41"/>
    </row>
    <row r="101" spans="1:23" s="123" customFormat="1" ht="20.25" customHeight="1" x14ac:dyDescent="0.35">
      <c r="A101" s="106"/>
      <c r="B101" s="130"/>
      <c r="C101" s="113"/>
      <c r="D101" s="114"/>
      <c r="E101" s="114"/>
      <c r="F101" s="114"/>
      <c r="G101" s="114"/>
      <c r="H101" s="114"/>
      <c r="I101" s="114"/>
      <c r="J101" s="115"/>
      <c r="K101" s="115"/>
      <c r="L101" s="115"/>
      <c r="M101" s="115"/>
      <c r="N101" s="115"/>
      <c r="O101" s="115"/>
      <c r="P101" s="115"/>
      <c r="Q101" s="115"/>
      <c r="R101" s="116"/>
      <c r="S101" s="122"/>
      <c r="T101" s="41"/>
      <c r="U101" s="41"/>
      <c r="V101" s="41"/>
      <c r="W101" s="41"/>
    </row>
    <row r="102" spans="1:23" s="123" customFormat="1" ht="20.25" customHeight="1" thickBot="1" x14ac:dyDescent="0.4">
      <c r="A102" s="131"/>
      <c r="B102" s="132"/>
      <c r="C102" s="133"/>
      <c r="D102" s="134"/>
      <c r="E102" s="134"/>
      <c r="F102" s="134"/>
      <c r="G102" s="134"/>
      <c r="H102" s="134"/>
      <c r="I102" s="134"/>
      <c r="J102" s="135"/>
      <c r="K102" s="135"/>
      <c r="L102" s="135"/>
      <c r="M102" s="135"/>
      <c r="N102" s="135"/>
      <c r="O102" s="135"/>
      <c r="P102" s="135"/>
      <c r="Q102" s="135"/>
      <c r="R102" s="136"/>
      <c r="S102" s="122"/>
      <c r="T102" s="41"/>
      <c r="U102" s="41"/>
      <c r="V102" s="41"/>
      <c r="W102" s="41"/>
    </row>
    <row r="103" spans="1:23" s="63" customFormat="1" ht="21" customHeight="1" thickTop="1" x14ac:dyDescent="0.3">
      <c r="A103" s="29"/>
      <c r="B103" s="29"/>
      <c r="C103" s="1"/>
      <c r="D103" s="782"/>
      <c r="E103" s="782"/>
      <c r="F103" s="788"/>
      <c r="G103" s="788"/>
      <c r="H103" s="788"/>
      <c r="I103" s="1"/>
      <c r="J103" s="1"/>
      <c r="K103" s="1"/>
      <c r="L103" s="1"/>
      <c r="M103" s="1"/>
      <c r="N103" s="1"/>
      <c r="O103" s="833" t="s">
        <v>42</v>
      </c>
      <c r="P103" s="833"/>
      <c r="Q103" s="833"/>
      <c r="R103" s="833"/>
      <c r="S103" s="2"/>
      <c r="T103" s="34"/>
      <c r="U103" s="34"/>
      <c r="V103" s="34"/>
      <c r="W103" s="34"/>
    </row>
    <row r="104" spans="1:23" s="63" customFormat="1" ht="21" customHeight="1" x14ac:dyDescent="0.3">
      <c r="A104" s="29"/>
      <c r="B104" s="29"/>
      <c r="C104" s="1"/>
      <c r="D104" s="782"/>
      <c r="E104" s="782"/>
      <c r="F104" s="788"/>
      <c r="G104" s="788"/>
      <c r="H104" s="788"/>
      <c r="I104" s="1"/>
      <c r="J104" s="1"/>
      <c r="K104" s="1"/>
      <c r="L104" s="1"/>
      <c r="M104" s="1"/>
      <c r="N104" s="1"/>
      <c r="O104" s="814" t="s">
        <v>43</v>
      </c>
      <c r="P104" s="814"/>
      <c r="Q104" s="814"/>
      <c r="R104" s="814"/>
      <c r="S104" s="2"/>
      <c r="T104" s="34"/>
      <c r="U104" s="34"/>
      <c r="V104" s="34"/>
      <c r="W104" s="34"/>
    </row>
    <row r="105" spans="1:23" ht="21" customHeight="1" x14ac:dyDescent="0.35">
      <c r="A105" s="29"/>
      <c r="B105" s="834"/>
      <c r="C105" s="834"/>
      <c r="D105" s="834"/>
      <c r="E105" s="834"/>
      <c r="F105" s="834"/>
      <c r="G105" s="834"/>
      <c r="H105" s="834"/>
      <c r="I105" s="834"/>
      <c r="J105" s="834"/>
      <c r="K105" s="834"/>
      <c r="L105" s="834"/>
      <c r="M105" s="1"/>
      <c r="N105" s="1"/>
      <c r="O105" s="1"/>
      <c r="P105" s="1"/>
      <c r="Q105" s="1"/>
      <c r="R105" s="61"/>
      <c r="S105" s="2"/>
      <c r="T105" s="34"/>
      <c r="U105" s="34"/>
      <c r="V105" s="34"/>
      <c r="W105" s="34"/>
    </row>
    <row r="106" spans="1:23" ht="39.75" customHeight="1" x14ac:dyDescent="0.35">
      <c r="A106" s="29"/>
      <c r="B106" s="835" t="s">
        <v>139</v>
      </c>
      <c r="C106" s="835"/>
      <c r="D106" s="835"/>
      <c r="E106" s="835"/>
      <c r="F106" s="835"/>
      <c r="G106" s="835"/>
      <c r="H106" s="835"/>
      <c r="I106" s="835"/>
      <c r="J106" s="835"/>
      <c r="K106" s="835"/>
      <c r="L106" s="835"/>
      <c r="M106" s="1"/>
      <c r="N106" s="1"/>
      <c r="O106" s="1"/>
      <c r="P106" s="1"/>
      <c r="Q106" s="1"/>
      <c r="R106" s="61"/>
      <c r="S106" s="2"/>
      <c r="T106" s="34"/>
      <c r="U106" s="34"/>
      <c r="V106" s="34"/>
      <c r="W106" s="34"/>
    </row>
    <row r="107" spans="1:23" ht="20.25" customHeight="1" x14ac:dyDescent="0.35">
      <c r="A107" s="29"/>
      <c r="B107" s="828" t="s">
        <v>140</v>
      </c>
      <c r="C107" s="828"/>
      <c r="D107" s="828"/>
      <c r="E107" s="828"/>
      <c r="F107" s="828"/>
      <c r="G107" s="828"/>
      <c r="H107" s="828"/>
      <c r="I107" s="828"/>
      <c r="J107" s="828"/>
      <c r="K107" s="828"/>
      <c r="L107" s="828"/>
      <c r="M107" s="1"/>
      <c r="N107" s="1"/>
      <c r="O107" s="1"/>
      <c r="P107" s="1"/>
      <c r="Q107" s="1"/>
      <c r="R107" s="61"/>
      <c r="S107" s="2"/>
      <c r="T107" s="34"/>
      <c r="U107" s="34"/>
      <c r="V107" s="34"/>
      <c r="W107" s="34"/>
    </row>
    <row r="108" spans="1:23" ht="15" customHeight="1" x14ac:dyDescent="0.35">
      <c r="A108" s="29"/>
      <c r="B108" s="137" t="s">
        <v>141</v>
      </c>
      <c r="C108" s="138"/>
      <c r="D108" s="783"/>
      <c r="E108" s="783"/>
      <c r="F108" s="789"/>
      <c r="G108" s="789"/>
      <c r="H108" s="789"/>
      <c r="I108" s="138"/>
      <c r="J108" s="138"/>
      <c r="K108" s="138"/>
      <c r="L108" s="138"/>
      <c r="M108" s="1"/>
      <c r="N108" s="1"/>
      <c r="O108" s="1"/>
      <c r="P108" s="1"/>
      <c r="Q108" s="1"/>
      <c r="R108" s="29"/>
      <c r="S108" s="2"/>
      <c r="T108" s="34"/>
      <c r="U108" s="34"/>
      <c r="V108" s="34"/>
      <c r="W108" s="34"/>
    </row>
    <row r="109" spans="1:23" x14ac:dyDescent="0.35">
      <c r="A109" s="29"/>
      <c r="B109" s="137" t="s">
        <v>142</v>
      </c>
      <c r="C109" s="1"/>
      <c r="D109" s="782"/>
      <c r="E109" s="782"/>
      <c r="F109" s="788"/>
      <c r="G109" s="788"/>
      <c r="H109" s="788"/>
      <c r="I109" s="1"/>
      <c r="J109" s="1"/>
      <c r="K109" s="1"/>
      <c r="L109" s="1"/>
      <c r="M109" s="1"/>
      <c r="N109" s="1"/>
      <c r="O109" s="1"/>
      <c r="P109" s="1"/>
      <c r="Q109" s="1"/>
      <c r="R109" s="2"/>
      <c r="S109" s="2"/>
      <c r="T109" s="34"/>
      <c r="U109" s="34"/>
      <c r="V109" s="34"/>
      <c r="W109" s="34"/>
    </row>
    <row r="110" spans="1:23" x14ac:dyDescent="0.35">
      <c r="A110" s="29"/>
      <c r="B110" s="137" t="s">
        <v>143</v>
      </c>
      <c r="C110" s="1"/>
      <c r="D110" s="782"/>
      <c r="E110" s="782"/>
      <c r="F110" s="788"/>
      <c r="G110" s="788"/>
      <c r="H110" s="788"/>
      <c r="I110" s="1"/>
      <c r="J110" s="1"/>
      <c r="K110" s="1"/>
      <c r="L110" s="1"/>
      <c r="M110" s="1"/>
      <c r="N110" s="1"/>
      <c r="O110" s="1"/>
      <c r="P110" s="1"/>
      <c r="Q110" s="1"/>
      <c r="R110" s="2"/>
      <c r="S110" s="2"/>
      <c r="T110" s="34"/>
      <c r="U110" s="34"/>
      <c r="V110" s="34"/>
      <c r="W110" s="34"/>
    </row>
    <row r="111" spans="1:23" x14ac:dyDescent="0.35">
      <c r="A111" s="29"/>
      <c r="B111" s="137" t="s">
        <v>144</v>
      </c>
      <c r="C111" s="1"/>
      <c r="D111" s="782"/>
      <c r="E111" s="782"/>
      <c r="F111" s="788"/>
      <c r="G111" s="788"/>
      <c r="H111" s="788"/>
      <c r="I111" s="1"/>
      <c r="J111" s="1"/>
      <c r="K111" s="1"/>
      <c r="L111" s="1"/>
      <c r="M111" s="1"/>
      <c r="N111" s="1"/>
      <c r="O111" s="1"/>
      <c r="P111" s="1"/>
      <c r="Q111" s="1"/>
      <c r="R111" s="2"/>
      <c r="S111" s="2"/>
      <c r="T111" s="34"/>
      <c r="U111" s="34"/>
      <c r="V111" s="34"/>
      <c r="W111" s="34"/>
    </row>
    <row r="112" spans="1:23" x14ac:dyDescent="0.35">
      <c r="A112" s="29"/>
      <c r="B112" s="29"/>
      <c r="C112" s="139"/>
      <c r="D112" s="784"/>
      <c r="E112" s="784"/>
      <c r="F112" s="790"/>
      <c r="G112" s="790"/>
      <c r="H112" s="790"/>
      <c r="I112" s="1"/>
      <c r="J112" s="1"/>
      <c r="K112" s="1"/>
      <c r="L112" s="1"/>
      <c r="M112" s="1"/>
      <c r="N112" s="1"/>
      <c r="O112" s="1"/>
      <c r="P112" s="1"/>
      <c r="Q112" s="1"/>
      <c r="R112" s="2"/>
      <c r="S112" s="2"/>
      <c r="T112" s="34"/>
      <c r="U112" s="34"/>
      <c r="V112" s="34"/>
      <c r="W112" s="34"/>
    </row>
    <row r="113" spans="1:23" x14ac:dyDescent="0.35">
      <c r="A113" s="29"/>
      <c r="B113" s="29"/>
      <c r="C113" s="139"/>
      <c r="D113" s="784"/>
      <c r="E113" s="784"/>
      <c r="F113" s="790"/>
      <c r="G113" s="790"/>
      <c r="H113" s="790"/>
      <c r="I113" s="1"/>
      <c r="J113" s="1"/>
      <c r="K113" s="1"/>
      <c r="L113" s="1"/>
      <c r="M113" s="1"/>
      <c r="N113" s="1"/>
      <c r="O113" s="1"/>
      <c r="P113" s="1"/>
      <c r="Q113" s="1"/>
      <c r="R113" s="2"/>
      <c r="S113" s="2"/>
      <c r="T113" s="34"/>
      <c r="U113" s="34"/>
      <c r="V113" s="34"/>
      <c r="W113" s="34"/>
    </row>
    <row r="114" spans="1:23" ht="13.5" customHeight="1" x14ac:dyDescent="0.35">
      <c r="A114" s="29"/>
      <c r="B114" s="29"/>
      <c r="C114" s="137"/>
      <c r="D114" s="784"/>
      <c r="E114" s="784"/>
      <c r="F114" s="790"/>
      <c r="G114" s="790"/>
      <c r="H114" s="790"/>
      <c r="I114" s="1"/>
      <c r="J114" s="1"/>
      <c r="K114" s="1"/>
      <c r="L114" s="1"/>
      <c r="M114" s="1"/>
      <c r="N114" s="1"/>
      <c r="O114" s="1"/>
      <c r="P114" s="1"/>
      <c r="Q114" s="1"/>
      <c r="R114" s="2"/>
      <c r="S114" s="2"/>
      <c r="T114" s="34"/>
      <c r="U114" s="34"/>
      <c r="V114" s="34"/>
      <c r="W114" s="34"/>
    </row>
    <row r="115" spans="1:23" x14ac:dyDescent="0.35">
      <c r="A115" s="29"/>
      <c r="B115" s="29"/>
      <c r="C115" s="1"/>
      <c r="D115" s="782"/>
      <c r="E115" s="782"/>
      <c r="F115" s="788"/>
      <c r="G115" s="788"/>
      <c r="H115" s="788"/>
      <c r="I115" s="1"/>
      <c r="J115" s="1"/>
      <c r="K115" s="1"/>
      <c r="L115" s="1"/>
      <c r="M115" s="1"/>
      <c r="N115" s="1"/>
      <c r="O115" s="1"/>
      <c r="P115" s="1"/>
      <c r="Q115" s="1"/>
      <c r="R115" s="2"/>
      <c r="S115" s="2"/>
      <c r="T115" s="34"/>
      <c r="U115" s="34"/>
      <c r="V115" s="34"/>
      <c r="W115" s="34"/>
    </row>
    <row r="116" spans="1:23" x14ac:dyDescent="0.35">
      <c r="A116" s="29"/>
      <c r="B116" s="29"/>
      <c r="C116" s="1"/>
      <c r="D116" s="782"/>
      <c r="E116" s="782"/>
      <c r="F116" s="788"/>
      <c r="G116" s="788"/>
      <c r="H116" s="788"/>
      <c r="I116" s="1"/>
      <c r="J116" s="1"/>
      <c r="K116" s="1"/>
      <c r="L116" s="1"/>
      <c r="M116" s="1"/>
      <c r="N116" s="1"/>
      <c r="O116" s="1"/>
      <c r="P116" s="1"/>
      <c r="Q116" s="1"/>
      <c r="R116" s="2"/>
      <c r="S116" s="2"/>
      <c r="T116" s="34"/>
      <c r="U116" s="34"/>
      <c r="V116" s="34"/>
      <c r="W116" s="34"/>
    </row>
    <row r="117" spans="1:23" x14ac:dyDescent="0.35">
      <c r="A117" s="29"/>
      <c r="B117" s="29"/>
      <c r="C117" s="1"/>
      <c r="D117" s="782"/>
      <c r="E117" s="782"/>
      <c r="F117" s="788"/>
      <c r="G117" s="788"/>
      <c r="H117" s="788"/>
      <c r="I117" s="1"/>
      <c r="J117" s="1"/>
      <c r="K117" s="1"/>
      <c r="L117" s="1"/>
      <c r="M117" s="1"/>
      <c r="N117" s="1"/>
      <c r="O117" s="1"/>
      <c r="P117" s="1"/>
      <c r="Q117" s="1"/>
      <c r="R117" s="2"/>
      <c r="S117" s="2"/>
      <c r="T117" s="34"/>
      <c r="U117" s="34"/>
      <c r="V117" s="34"/>
      <c r="W117" s="34"/>
    </row>
    <row r="118" spans="1:23" x14ac:dyDescent="0.35">
      <c r="A118" s="29"/>
      <c r="B118" s="29"/>
      <c r="C118" s="1"/>
      <c r="D118" s="782"/>
      <c r="E118" s="782"/>
      <c r="F118" s="788"/>
      <c r="G118" s="788"/>
      <c r="H118" s="788"/>
      <c r="I118" s="1"/>
      <c r="J118" s="1"/>
      <c r="K118" s="1"/>
      <c r="L118" s="1"/>
      <c r="M118" s="1"/>
      <c r="N118" s="1"/>
      <c r="O118" s="1"/>
      <c r="P118" s="1"/>
      <c r="Q118" s="1"/>
      <c r="R118" s="2"/>
      <c r="S118" s="2"/>
      <c r="T118" s="34"/>
      <c r="U118" s="34"/>
      <c r="V118" s="34"/>
      <c r="W118" s="34"/>
    </row>
    <row r="119" spans="1:23" x14ac:dyDescent="0.35">
      <c r="A119" s="29"/>
      <c r="B119" s="29"/>
      <c r="C119" s="1"/>
      <c r="D119" s="782"/>
      <c r="E119" s="782"/>
      <c r="F119" s="788"/>
      <c r="G119" s="788"/>
      <c r="H119" s="788"/>
      <c r="I119" s="1"/>
      <c r="J119" s="1"/>
      <c r="K119" s="1"/>
      <c r="L119" s="1"/>
      <c r="M119" s="1"/>
      <c r="N119" s="1"/>
      <c r="O119" s="1"/>
      <c r="P119" s="1"/>
      <c r="Q119" s="1"/>
      <c r="R119" s="2"/>
      <c r="S119" s="2"/>
      <c r="T119" s="34"/>
      <c r="U119" s="34"/>
      <c r="V119" s="34"/>
      <c r="W119" s="34"/>
    </row>
    <row r="120" spans="1:23" x14ac:dyDescent="0.35">
      <c r="A120" s="29"/>
      <c r="B120" s="29"/>
      <c r="C120" s="1"/>
      <c r="D120" s="782"/>
      <c r="E120" s="782"/>
      <c r="F120" s="788"/>
      <c r="G120" s="788"/>
      <c r="H120" s="788"/>
      <c r="I120" s="1"/>
      <c r="J120" s="1"/>
      <c r="K120" s="1"/>
      <c r="L120" s="1"/>
      <c r="M120" s="1"/>
      <c r="N120" s="1"/>
      <c r="O120" s="1"/>
      <c r="P120" s="1"/>
      <c r="Q120" s="1"/>
      <c r="R120" s="2"/>
      <c r="S120" s="2"/>
      <c r="T120" s="34"/>
      <c r="U120" s="34"/>
      <c r="V120" s="34"/>
      <c r="W120" s="34"/>
    </row>
    <row r="121" spans="1:23" x14ac:dyDescent="0.35">
      <c r="A121" s="29"/>
      <c r="B121" s="29"/>
      <c r="C121" s="1"/>
      <c r="D121" s="782"/>
      <c r="E121" s="782"/>
      <c r="F121" s="788"/>
      <c r="G121" s="788"/>
      <c r="H121" s="788"/>
      <c r="I121" s="1"/>
      <c r="J121" s="1"/>
      <c r="K121" s="1"/>
      <c r="L121" s="1"/>
      <c r="M121" s="1"/>
      <c r="N121" s="1"/>
      <c r="O121" s="1"/>
      <c r="P121" s="1"/>
      <c r="Q121" s="1"/>
      <c r="R121" s="2"/>
      <c r="S121" s="2"/>
      <c r="T121" s="34"/>
      <c r="U121" s="34"/>
      <c r="V121" s="34"/>
      <c r="W121" s="34"/>
    </row>
    <row r="122" spans="1:23" x14ac:dyDescent="0.35">
      <c r="A122" s="29"/>
      <c r="B122" s="29"/>
      <c r="C122" s="1"/>
      <c r="D122" s="782"/>
      <c r="E122" s="782"/>
      <c r="F122" s="788"/>
      <c r="G122" s="788"/>
      <c r="H122" s="788"/>
      <c r="I122" s="1"/>
      <c r="J122" s="1"/>
      <c r="K122" s="1"/>
      <c r="L122" s="1"/>
      <c r="M122" s="1"/>
      <c r="N122" s="1"/>
      <c r="O122" s="1"/>
      <c r="P122" s="1"/>
      <c r="Q122" s="1"/>
      <c r="R122" s="2"/>
      <c r="S122" s="2"/>
      <c r="T122" s="34"/>
      <c r="U122" s="34"/>
      <c r="V122" s="34"/>
      <c r="W122" s="34"/>
    </row>
    <row r="123" spans="1:23" x14ac:dyDescent="0.35">
      <c r="A123" s="29"/>
      <c r="B123" s="29"/>
      <c r="C123" s="1"/>
      <c r="D123" s="782"/>
      <c r="E123" s="782"/>
      <c r="F123" s="788"/>
      <c r="G123" s="788"/>
      <c r="H123" s="788"/>
      <c r="I123" s="1"/>
      <c r="J123" s="1"/>
      <c r="K123" s="1"/>
      <c r="L123" s="1"/>
      <c r="M123" s="1"/>
      <c r="N123" s="1"/>
      <c r="O123" s="1"/>
      <c r="P123" s="1"/>
      <c r="Q123" s="1"/>
      <c r="R123" s="2"/>
      <c r="S123" s="2"/>
      <c r="T123" s="34"/>
      <c r="U123" s="34"/>
      <c r="V123" s="34"/>
      <c r="W123" s="34"/>
    </row>
    <row r="124" spans="1:23" x14ac:dyDescent="0.35">
      <c r="A124" s="29"/>
      <c r="B124" s="29"/>
      <c r="C124" s="1"/>
      <c r="D124" s="782"/>
      <c r="E124" s="782"/>
      <c r="F124" s="788"/>
      <c r="G124" s="788"/>
      <c r="H124" s="788"/>
      <c r="I124" s="1"/>
      <c r="J124" s="1"/>
      <c r="K124" s="1"/>
      <c r="L124" s="1"/>
      <c r="M124" s="1"/>
      <c r="N124" s="1"/>
      <c r="O124" s="1"/>
      <c r="P124" s="1"/>
      <c r="Q124" s="1"/>
      <c r="R124" s="2"/>
      <c r="S124" s="2"/>
      <c r="T124" s="34"/>
      <c r="U124" s="34"/>
      <c r="V124" s="34"/>
      <c r="W124" s="34"/>
    </row>
    <row r="125" spans="1:23" x14ac:dyDescent="0.35">
      <c r="A125" s="29"/>
      <c r="B125" s="29"/>
      <c r="C125" s="1"/>
      <c r="D125" s="782"/>
      <c r="E125" s="782"/>
      <c r="F125" s="788"/>
      <c r="G125" s="788"/>
      <c r="H125" s="788"/>
      <c r="I125" s="1"/>
      <c r="J125" s="1"/>
      <c r="K125" s="1"/>
      <c r="L125" s="1"/>
      <c r="M125" s="1"/>
      <c r="N125" s="1"/>
      <c r="O125" s="1"/>
      <c r="P125" s="1"/>
      <c r="Q125" s="1"/>
      <c r="R125" s="2"/>
      <c r="S125" s="2"/>
      <c r="T125" s="34"/>
      <c r="U125" s="34"/>
      <c r="V125" s="34"/>
      <c r="W125" s="34"/>
    </row>
    <row r="126" spans="1:23" x14ac:dyDescent="0.35">
      <c r="A126" s="29"/>
      <c r="B126" s="29"/>
      <c r="C126" s="1"/>
      <c r="D126" s="782"/>
      <c r="E126" s="782"/>
      <c r="F126" s="788"/>
      <c r="G126" s="788"/>
      <c r="H126" s="788"/>
      <c r="I126" s="1"/>
      <c r="J126" s="1"/>
      <c r="K126" s="1"/>
      <c r="L126" s="1"/>
      <c r="M126" s="1"/>
      <c r="N126" s="1"/>
      <c r="O126" s="1"/>
      <c r="P126" s="1"/>
      <c r="Q126" s="1"/>
      <c r="R126" s="2"/>
      <c r="S126" s="2"/>
      <c r="T126" s="34"/>
      <c r="U126" s="34"/>
      <c r="V126" s="34"/>
      <c r="W126" s="34"/>
    </row>
    <row r="127" spans="1:23" x14ac:dyDescent="0.35">
      <c r="A127" s="29"/>
      <c r="B127" s="29"/>
      <c r="C127" s="1"/>
      <c r="D127" s="782"/>
      <c r="E127" s="782"/>
      <c r="F127" s="788"/>
      <c r="G127" s="788"/>
      <c r="H127" s="788"/>
      <c r="I127" s="1"/>
      <c r="J127" s="1"/>
      <c r="K127" s="1"/>
      <c r="L127" s="1"/>
      <c r="M127" s="1"/>
      <c r="N127" s="1"/>
      <c r="O127" s="1"/>
      <c r="P127" s="1"/>
      <c r="Q127" s="1"/>
      <c r="R127" s="2"/>
      <c r="S127" s="2"/>
      <c r="T127" s="34"/>
      <c r="U127" s="34"/>
      <c r="V127" s="34"/>
      <c r="W127" s="34"/>
    </row>
    <row r="128" spans="1:23" x14ac:dyDescent="0.35">
      <c r="A128" s="29"/>
      <c r="B128" s="29"/>
      <c r="C128" s="1"/>
      <c r="D128" s="782"/>
      <c r="E128" s="782"/>
      <c r="F128" s="788"/>
      <c r="G128" s="788"/>
      <c r="H128" s="788"/>
      <c r="I128" s="1"/>
      <c r="J128" s="1"/>
      <c r="K128" s="1"/>
      <c r="L128" s="1"/>
      <c r="M128" s="1"/>
      <c r="N128" s="1"/>
      <c r="O128" s="1"/>
      <c r="P128" s="1"/>
      <c r="Q128" s="1"/>
      <c r="R128" s="2"/>
      <c r="S128" s="2"/>
      <c r="T128" s="34"/>
      <c r="U128" s="34"/>
      <c r="V128" s="34"/>
      <c r="W128" s="34"/>
    </row>
    <row r="129" spans="1:23" x14ac:dyDescent="0.35">
      <c r="A129" s="29"/>
      <c r="B129" s="29"/>
      <c r="C129" s="1"/>
      <c r="D129" s="782"/>
      <c r="E129" s="782"/>
      <c r="F129" s="788"/>
      <c r="G129" s="788"/>
      <c r="H129" s="788"/>
      <c r="I129" s="1"/>
      <c r="J129" s="1"/>
      <c r="K129" s="1"/>
      <c r="L129" s="1"/>
      <c r="M129" s="1"/>
      <c r="N129" s="1"/>
      <c r="O129" s="1"/>
      <c r="P129" s="1"/>
      <c r="Q129" s="1"/>
      <c r="R129" s="2"/>
      <c r="S129" s="2"/>
      <c r="T129" s="34"/>
      <c r="U129" s="34"/>
      <c r="V129" s="34"/>
      <c r="W129" s="34"/>
    </row>
    <row r="130" spans="1:23" x14ac:dyDescent="0.35">
      <c r="A130" s="29"/>
      <c r="B130" s="29"/>
      <c r="C130" s="1"/>
      <c r="D130" s="782"/>
      <c r="E130" s="782"/>
      <c r="F130" s="788"/>
      <c r="G130" s="788"/>
      <c r="H130" s="788"/>
      <c r="I130" s="1"/>
      <c r="J130" s="1"/>
      <c r="K130" s="1"/>
      <c r="L130" s="1"/>
      <c r="M130" s="1"/>
      <c r="N130" s="1"/>
      <c r="O130" s="1"/>
      <c r="P130" s="1"/>
      <c r="Q130" s="1"/>
      <c r="R130" s="2"/>
      <c r="S130" s="2"/>
      <c r="T130" s="34"/>
      <c r="U130" s="34"/>
      <c r="V130" s="34"/>
      <c r="W130" s="34"/>
    </row>
    <row r="131" spans="1:23" x14ac:dyDescent="0.35">
      <c r="A131" s="29"/>
      <c r="B131" s="29"/>
      <c r="C131" s="1"/>
      <c r="D131" s="782"/>
      <c r="E131" s="782"/>
      <c r="F131" s="788"/>
      <c r="G131" s="788"/>
      <c r="H131" s="788"/>
      <c r="I131" s="1"/>
      <c r="J131" s="1"/>
      <c r="K131" s="1"/>
      <c r="L131" s="1"/>
      <c r="M131" s="1"/>
      <c r="N131" s="1"/>
      <c r="O131" s="1"/>
      <c r="P131" s="1"/>
      <c r="Q131" s="1"/>
      <c r="R131" s="2"/>
      <c r="S131" s="2"/>
      <c r="T131" s="34"/>
      <c r="U131" s="34"/>
      <c r="V131" s="34"/>
      <c r="W131" s="34"/>
    </row>
    <row r="132" spans="1:23" x14ac:dyDescent="0.35">
      <c r="A132" s="29"/>
      <c r="B132" s="29"/>
      <c r="C132" s="1"/>
      <c r="D132" s="782"/>
      <c r="E132" s="782"/>
      <c r="F132" s="788"/>
      <c r="G132" s="788"/>
      <c r="H132" s="788"/>
      <c r="I132" s="1"/>
      <c r="J132" s="1"/>
      <c r="K132" s="1"/>
      <c r="L132" s="1"/>
      <c r="M132" s="1"/>
      <c r="N132" s="1"/>
      <c r="O132" s="1"/>
      <c r="P132" s="1"/>
      <c r="Q132" s="1"/>
      <c r="R132" s="2"/>
      <c r="S132" s="2"/>
      <c r="T132" s="34"/>
      <c r="U132" s="34"/>
      <c r="V132" s="34"/>
      <c r="W132" s="34"/>
    </row>
    <row r="133" spans="1:23" x14ac:dyDescent="0.35">
      <c r="A133" s="29"/>
      <c r="B133" s="29"/>
      <c r="C133" s="1"/>
      <c r="D133" s="782"/>
      <c r="E133" s="782"/>
      <c r="F133" s="788"/>
      <c r="G133" s="788"/>
      <c r="H133" s="788"/>
      <c r="I133" s="1"/>
      <c r="J133" s="1"/>
      <c r="K133" s="1"/>
      <c r="L133" s="1"/>
      <c r="M133" s="1"/>
      <c r="N133" s="1"/>
      <c r="O133" s="1"/>
      <c r="P133" s="1"/>
      <c r="Q133" s="1"/>
      <c r="R133" s="2"/>
      <c r="S133" s="2"/>
      <c r="T133" s="34"/>
      <c r="U133" s="34"/>
      <c r="V133" s="34"/>
      <c r="W133" s="34"/>
    </row>
    <row r="134" spans="1:23" x14ac:dyDescent="0.35">
      <c r="A134" s="29"/>
      <c r="B134" s="29"/>
      <c r="C134" s="1"/>
      <c r="D134" s="782"/>
      <c r="E134" s="782"/>
      <c r="F134" s="788"/>
      <c r="G134" s="788"/>
      <c r="H134" s="788"/>
      <c r="I134" s="1"/>
      <c r="J134" s="1"/>
      <c r="K134" s="1"/>
      <c r="L134" s="1"/>
      <c r="M134" s="1"/>
      <c r="N134" s="1"/>
      <c r="O134" s="1"/>
      <c r="P134" s="1"/>
      <c r="Q134" s="1"/>
      <c r="R134" s="2"/>
      <c r="S134" s="2"/>
      <c r="T134" s="34"/>
      <c r="U134" s="34"/>
      <c r="V134" s="34"/>
      <c r="W134" s="34"/>
    </row>
    <row r="135" spans="1:23" x14ac:dyDescent="0.35">
      <c r="A135" s="29"/>
      <c r="B135" s="29"/>
      <c r="C135" s="1"/>
      <c r="D135" s="782"/>
      <c r="E135" s="782"/>
      <c r="F135" s="788"/>
      <c r="G135" s="788"/>
      <c r="H135" s="788"/>
      <c r="I135" s="1"/>
      <c r="J135" s="1"/>
      <c r="K135" s="1"/>
      <c r="L135" s="1"/>
      <c r="M135" s="1"/>
      <c r="N135" s="1"/>
      <c r="O135" s="1"/>
      <c r="P135" s="1"/>
      <c r="Q135" s="1"/>
      <c r="R135" s="2"/>
      <c r="S135" s="2"/>
      <c r="T135" s="34"/>
      <c r="U135" s="34"/>
      <c r="V135" s="34"/>
      <c r="W135" s="34"/>
    </row>
    <row r="136" spans="1:23" x14ac:dyDescent="0.35">
      <c r="A136" s="54"/>
      <c r="B136" s="54"/>
      <c r="C136" s="55"/>
      <c r="D136" s="785"/>
      <c r="E136" s="785"/>
      <c r="F136" s="791"/>
      <c r="G136" s="791"/>
      <c r="H136" s="791"/>
      <c r="I136" s="55"/>
      <c r="J136" s="55"/>
      <c r="K136" s="55"/>
      <c r="L136" s="55"/>
      <c r="M136" s="55"/>
      <c r="N136" s="55"/>
      <c r="O136" s="55"/>
      <c r="P136" s="55"/>
      <c r="Q136" s="55"/>
      <c r="R136" s="34"/>
      <c r="S136" s="34"/>
      <c r="T136" s="34"/>
      <c r="U136" s="34"/>
      <c r="V136" s="34"/>
      <c r="W136" s="34"/>
    </row>
  </sheetData>
  <mergeCells count="28">
    <mergeCell ref="A5:R5"/>
    <mergeCell ref="A1:C1"/>
    <mergeCell ref="J1:O1"/>
    <mergeCell ref="A2:C2"/>
    <mergeCell ref="J2:O2"/>
    <mergeCell ref="A3:R3"/>
    <mergeCell ref="A4:R4"/>
    <mergeCell ref="A7:A8"/>
    <mergeCell ref="B7:B8"/>
    <mergeCell ref="C7:C8"/>
    <mergeCell ref="E7:E8"/>
    <mergeCell ref="F7:F8"/>
    <mergeCell ref="D7:D8"/>
    <mergeCell ref="B107:L107"/>
    <mergeCell ref="Q7:Q8"/>
    <mergeCell ref="R7:R8"/>
    <mergeCell ref="O103:R103"/>
    <mergeCell ref="O104:R104"/>
    <mergeCell ref="B105:L105"/>
    <mergeCell ref="B106:L106"/>
    <mergeCell ref="I7:I8"/>
    <mergeCell ref="J7:L7"/>
    <mergeCell ref="M7:M8"/>
    <mergeCell ref="N7:N8"/>
    <mergeCell ref="O7:O8"/>
    <mergeCell ref="P7:P8"/>
    <mergeCell ref="H7:H8"/>
    <mergeCell ref="G7:G8"/>
  </mergeCells>
  <phoneticPr fontId="62" type="noConversion"/>
  <pageMargins left="0.23" right="0.17" top="0.24" bottom="0.27" header="0.3" footer="0.3"/>
  <pageSetup paperSize="9" scale="67" fitToHeight="0"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A06A8-1B78-4140-8680-E00CDD4637AD}">
  <sheetPr>
    <tabColor rgb="FF0070C0"/>
    <pageSetUpPr fitToPage="1"/>
  </sheetPr>
  <dimension ref="A1:M81"/>
  <sheetViews>
    <sheetView zoomScale="70" zoomScaleNormal="70" workbookViewId="0">
      <selection activeCell="C7" sqref="C7:C8"/>
    </sheetView>
  </sheetViews>
  <sheetFormatPr defaultColWidth="9" defaultRowHeight="14" x14ac:dyDescent="0.3"/>
  <cols>
    <col min="1" max="1" width="4.6328125" style="532" customWidth="1"/>
    <col min="2" max="2" width="24.6328125" style="532" customWidth="1"/>
    <col min="3" max="3" width="12" style="532" customWidth="1"/>
    <col min="4" max="4" width="15.90625" style="532" customWidth="1"/>
    <col min="5" max="5" width="26.6328125" style="532" customWidth="1"/>
    <col min="6" max="6" width="8.36328125" style="624" customWidth="1"/>
    <col min="7" max="7" width="8.7265625" style="625" customWidth="1"/>
    <col min="8" max="8" width="6.36328125" style="625" customWidth="1"/>
    <col min="9" max="9" width="18" style="625" customWidth="1"/>
    <col min="10" max="10" width="18.26953125" style="625" customWidth="1"/>
    <col min="11" max="11" width="8.6328125" style="412" customWidth="1"/>
    <col min="12" max="12" width="9.36328125" style="412" customWidth="1"/>
    <col min="13" max="13" width="17.36328125" style="560" customWidth="1"/>
    <col min="14" max="16384" width="9" style="560"/>
  </cols>
  <sheetData>
    <row r="1" spans="1:13" ht="14.25" customHeight="1" x14ac:dyDescent="0.3">
      <c r="A1" s="850" t="s">
        <v>0</v>
      </c>
      <c r="B1" s="850"/>
      <c r="C1" s="850"/>
      <c r="D1" s="850"/>
      <c r="E1" s="850"/>
      <c r="F1" s="529"/>
      <c r="G1" s="558"/>
      <c r="H1" s="558"/>
      <c r="I1" s="558"/>
      <c r="J1" s="558"/>
      <c r="K1" s="174"/>
      <c r="L1" s="174"/>
      <c r="M1" s="559" t="s">
        <v>145</v>
      </c>
    </row>
    <row r="2" spans="1:13" x14ac:dyDescent="0.3">
      <c r="A2" s="850" t="s">
        <v>146</v>
      </c>
      <c r="B2" s="850"/>
      <c r="C2" s="850"/>
      <c r="D2" s="850"/>
      <c r="E2" s="850"/>
      <c r="F2" s="529"/>
      <c r="G2" s="558"/>
      <c r="H2" s="558"/>
      <c r="I2" s="558"/>
      <c r="J2" s="558"/>
      <c r="K2" s="174"/>
      <c r="L2" s="174"/>
      <c r="M2" s="558"/>
    </row>
    <row r="3" spans="1:13" ht="57.75" customHeight="1" x14ac:dyDescent="0.3">
      <c r="A3" s="851" t="s">
        <v>642</v>
      </c>
      <c r="B3" s="851"/>
      <c r="C3" s="851"/>
      <c r="D3" s="851"/>
      <c r="E3" s="851"/>
      <c r="F3" s="851"/>
      <c r="G3" s="851"/>
      <c r="H3" s="851"/>
      <c r="I3" s="851"/>
      <c r="J3" s="851"/>
      <c r="K3" s="851"/>
      <c r="L3" s="851"/>
      <c r="M3" s="851"/>
    </row>
    <row r="4" spans="1:13" ht="45" customHeight="1" x14ac:dyDescent="0.3">
      <c r="A4" s="845" t="s">
        <v>643</v>
      </c>
      <c r="B4" s="845"/>
      <c r="C4" s="845"/>
      <c r="D4" s="845"/>
      <c r="E4" s="845"/>
      <c r="F4" s="845"/>
      <c r="G4" s="845"/>
      <c r="H4" s="845"/>
      <c r="I4" s="845"/>
      <c r="J4" s="845"/>
      <c r="K4" s="845"/>
      <c r="L4" s="845"/>
      <c r="M4" s="845"/>
    </row>
    <row r="5" spans="1:13" ht="19.5" customHeight="1" x14ac:dyDescent="0.3">
      <c r="A5" s="852"/>
      <c r="B5" s="852"/>
      <c r="C5" s="852"/>
      <c r="D5" s="852"/>
      <c r="E5" s="852"/>
      <c r="F5" s="852"/>
      <c r="G5" s="852"/>
      <c r="H5" s="852"/>
      <c r="I5" s="852"/>
      <c r="J5" s="852"/>
      <c r="K5" s="852"/>
      <c r="L5" s="852"/>
      <c r="M5" s="852"/>
    </row>
    <row r="6" spans="1:13" ht="14.5" thickBot="1" x14ac:dyDescent="0.35">
      <c r="A6" s="561"/>
      <c r="B6" s="561"/>
      <c r="C6" s="561"/>
      <c r="D6" s="561"/>
      <c r="E6" s="561"/>
      <c r="F6" s="562"/>
      <c r="G6" s="561"/>
      <c r="H6" s="561"/>
      <c r="I6" s="561"/>
      <c r="J6" s="561"/>
      <c r="K6" s="563"/>
      <c r="L6" s="563"/>
      <c r="M6" s="564"/>
    </row>
    <row r="7" spans="1:13" ht="51.75" customHeight="1" thickTop="1" x14ac:dyDescent="0.3">
      <c r="A7" s="853" t="s">
        <v>5</v>
      </c>
      <c r="B7" s="848" t="s">
        <v>147</v>
      </c>
      <c r="C7" s="855" t="s">
        <v>148</v>
      </c>
      <c r="D7" s="855" t="s">
        <v>149</v>
      </c>
      <c r="E7" s="855" t="s">
        <v>150</v>
      </c>
      <c r="F7" s="848" t="s">
        <v>78</v>
      </c>
      <c r="G7" s="829" t="s">
        <v>80</v>
      </c>
      <c r="H7" s="848" t="s">
        <v>151</v>
      </c>
      <c r="I7" s="848" t="s">
        <v>81</v>
      </c>
      <c r="J7" s="848" t="s">
        <v>82</v>
      </c>
      <c r="K7" s="848" t="s">
        <v>83</v>
      </c>
      <c r="L7" s="848" t="s">
        <v>84</v>
      </c>
      <c r="M7" s="857" t="s">
        <v>16</v>
      </c>
    </row>
    <row r="8" spans="1:13" ht="75.75" customHeight="1" x14ac:dyDescent="0.3">
      <c r="A8" s="854"/>
      <c r="B8" s="849"/>
      <c r="C8" s="856"/>
      <c r="D8" s="856"/>
      <c r="E8" s="856"/>
      <c r="F8" s="849"/>
      <c r="G8" s="830"/>
      <c r="H8" s="849"/>
      <c r="I8" s="849"/>
      <c r="J8" s="849"/>
      <c r="K8" s="849"/>
      <c r="L8" s="849"/>
      <c r="M8" s="858"/>
    </row>
    <row r="9" spans="1:13" s="569" customFormat="1" ht="30" customHeight="1" x14ac:dyDescent="0.3">
      <c r="A9" s="565" t="s">
        <v>88</v>
      </c>
      <c r="B9" s="566" t="s">
        <v>89</v>
      </c>
      <c r="C9" s="566" t="s">
        <v>90</v>
      </c>
      <c r="D9" s="566" t="s">
        <v>91</v>
      </c>
      <c r="E9" s="566" t="s">
        <v>92</v>
      </c>
      <c r="F9" s="567" t="s">
        <v>152</v>
      </c>
      <c r="G9" s="567" t="s">
        <v>93</v>
      </c>
      <c r="H9" s="567" t="s">
        <v>153</v>
      </c>
      <c r="I9" s="567" t="s">
        <v>154</v>
      </c>
      <c r="J9" s="567" t="s">
        <v>155</v>
      </c>
      <c r="K9" s="567" t="s">
        <v>95</v>
      </c>
      <c r="L9" s="567" t="s">
        <v>96</v>
      </c>
      <c r="M9" s="568" t="s">
        <v>97</v>
      </c>
    </row>
    <row r="10" spans="1:13" s="576" customFormat="1" ht="24" customHeight="1" x14ac:dyDescent="0.35">
      <c r="A10" s="570" t="s">
        <v>19</v>
      </c>
      <c r="B10" s="571" t="s">
        <v>156</v>
      </c>
      <c r="C10" s="572" t="s">
        <v>157</v>
      </c>
      <c r="D10" s="573"/>
      <c r="E10" s="571"/>
      <c r="F10" s="574">
        <f>+F11+F15</f>
        <v>0</v>
      </c>
      <c r="G10" s="574">
        <f t="shared" ref="G10:L10" si="0">+G11+G15</f>
        <v>0</v>
      </c>
      <c r="H10" s="574">
        <f t="shared" si="0"/>
        <v>0</v>
      </c>
      <c r="I10" s="574">
        <f t="shared" si="0"/>
        <v>0</v>
      </c>
      <c r="J10" s="574">
        <f t="shared" si="0"/>
        <v>0</v>
      </c>
      <c r="K10" s="574">
        <f t="shared" si="0"/>
        <v>0</v>
      </c>
      <c r="L10" s="574">
        <f t="shared" si="0"/>
        <v>0</v>
      </c>
      <c r="M10" s="575"/>
    </row>
    <row r="11" spans="1:13" s="576" customFormat="1" ht="19.5" customHeight="1" x14ac:dyDescent="0.35">
      <c r="A11" s="577" t="s">
        <v>17</v>
      </c>
      <c r="B11" s="578" t="s">
        <v>158</v>
      </c>
      <c r="C11" s="578"/>
      <c r="D11" s="579"/>
      <c r="E11" s="578"/>
      <c r="F11" s="580">
        <f>SUM(F12:F14)</f>
        <v>0</v>
      </c>
      <c r="G11" s="580">
        <f t="shared" ref="G11:L11" si="1">SUM(G12:G14)</f>
        <v>0</v>
      </c>
      <c r="H11" s="580">
        <f t="shared" si="1"/>
        <v>0</v>
      </c>
      <c r="I11" s="580">
        <f t="shared" si="1"/>
        <v>0</v>
      </c>
      <c r="J11" s="580">
        <f t="shared" si="1"/>
        <v>0</v>
      </c>
      <c r="K11" s="580">
        <f t="shared" si="1"/>
        <v>0</v>
      </c>
      <c r="L11" s="580">
        <f t="shared" si="1"/>
        <v>0</v>
      </c>
      <c r="M11" s="581"/>
    </row>
    <row r="12" spans="1:13" s="576" customFormat="1" x14ac:dyDescent="0.35">
      <c r="A12" s="582">
        <v>1</v>
      </c>
      <c r="B12" s="583" t="s">
        <v>159</v>
      </c>
      <c r="C12" s="583"/>
      <c r="D12" s="584"/>
      <c r="E12" s="583"/>
      <c r="F12" s="585">
        <v>0</v>
      </c>
      <c r="G12" s="585">
        <v>0</v>
      </c>
      <c r="H12" s="585">
        <v>0</v>
      </c>
      <c r="I12" s="585">
        <f>G12-H12</f>
        <v>0</v>
      </c>
      <c r="J12" s="585">
        <f>F12-I12</f>
        <v>0</v>
      </c>
      <c r="K12" s="585">
        <v>0</v>
      </c>
      <c r="L12" s="585">
        <v>0</v>
      </c>
      <c r="M12" s="586"/>
    </row>
    <row r="13" spans="1:13" s="576" customFormat="1" x14ac:dyDescent="0.35">
      <c r="A13" s="582">
        <v>2</v>
      </c>
      <c r="B13" s="583" t="s">
        <v>160</v>
      </c>
      <c r="C13" s="583"/>
      <c r="D13" s="584"/>
      <c r="E13" s="587"/>
      <c r="F13" s="585"/>
      <c r="G13" s="585"/>
      <c r="H13" s="585"/>
      <c r="I13" s="585"/>
      <c r="J13" s="585"/>
      <c r="K13" s="585"/>
      <c r="L13" s="585"/>
      <c r="M13" s="586"/>
    </row>
    <row r="14" spans="1:13" s="576" customFormat="1" x14ac:dyDescent="0.35">
      <c r="A14" s="582">
        <v>3</v>
      </c>
      <c r="B14" s="583" t="s">
        <v>160</v>
      </c>
      <c r="C14" s="583"/>
      <c r="D14" s="584"/>
      <c r="E14" s="587"/>
      <c r="F14" s="585"/>
      <c r="G14" s="585"/>
      <c r="H14" s="585"/>
      <c r="I14" s="585"/>
      <c r="J14" s="585"/>
      <c r="K14" s="585"/>
      <c r="L14" s="585"/>
      <c r="M14" s="586"/>
    </row>
    <row r="15" spans="1:13" s="576" customFormat="1" x14ac:dyDescent="0.35">
      <c r="A15" s="588" t="s">
        <v>129</v>
      </c>
      <c r="B15" s="589" t="s">
        <v>161</v>
      </c>
      <c r="C15" s="590"/>
      <c r="D15" s="590"/>
      <c r="E15" s="591"/>
      <c r="F15" s="592">
        <f>SUM(F16:F18)</f>
        <v>0</v>
      </c>
      <c r="G15" s="592">
        <f t="shared" ref="G15:L15" si="2">SUM(G16:G18)</f>
        <v>0</v>
      </c>
      <c r="H15" s="592">
        <f t="shared" si="2"/>
        <v>0</v>
      </c>
      <c r="I15" s="592">
        <f t="shared" si="2"/>
        <v>0</v>
      </c>
      <c r="J15" s="592">
        <f t="shared" si="2"/>
        <v>0</v>
      </c>
      <c r="K15" s="592">
        <f t="shared" si="2"/>
        <v>0</v>
      </c>
      <c r="L15" s="592">
        <f t="shared" si="2"/>
        <v>0</v>
      </c>
      <c r="M15" s="593"/>
    </row>
    <row r="16" spans="1:13" s="576" customFormat="1" x14ac:dyDescent="0.35">
      <c r="A16" s="582">
        <v>1</v>
      </c>
      <c r="B16" s="583" t="s">
        <v>159</v>
      </c>
      <c r="C16" s="590"/>
      <c r="D16" s="594"/>
      <c r="E16" s="595"/>
      <c r="F16" s="585">
        <v>0</v>
      </c>
      <c r="G16" s="585">
        <v>0</v>
      </c>
      <c r="H16" s="585">
        <v>0</v>
      </c>
      <c r="I16" s="585">
        <f>G16-H16</f>
        <v>0</v>
      </c>
      <c r="J16" s="585">
        <f>F16-I16</f>
        <v>0</v>
      </c>
      <c r="K16" s="585">
        <v>0</v>
      </c>
      <c r="L16" s="585">
        <v>0</v>
      </c>
      <c r="M16" s="593"/>
    </row>
    <row r="17" spans="1:13" s="576" customFormat="1" x14ac:dyDescent="0.35">
      <c r="A17" s="582">
        <v>2</v>
      </c>
      <c r="B17" s="583" t="s">
        <v>160</v>
      </c>
      <c r="C17" s="583"/>
      <c r="D17" s="584"/>
      <c r="E17" s="587"/>
      <c r="F17" s="585"/>
      <c r="G17" s="585"/>
      <c r="H17" s="585"/>
      <c r="I17" s="585"/>
      <c r="J17" s="585"/>
      <c r="K17" s="585"/>
      <c r="L17" s="585"/>
      <c r="M17" s="586"/>
    </row>
    <row r="18" spans="1:13" s="576" customFormat="1" x14ac:dyDescent="0.35">
      <c r="A18" s="582">
        <v>3</v>
      </c>
      <c r="B18" s="583" t="s">
        <v>160</v>
      </c>
      <c r="C18" s="583"/>
      <c r="D18" s="584"/>
      <c r="E18" s="587"/>
      <c r="F18" s="585"/>
      <c r="G18" s="585"/>
      <c r="H18" s="585"/>
      <c r="I18" s="585"/>
      <c r="J18" s="585"/>
      <c r="K18" s="585"/>
      <c r="L18" s="585"/>
      <c r="M18" s="586"/>
    </row>
    <row r="19" spans="1:13" s="576" customFormat="1" ht="22.5" customHeight="1" x14ac:dyDescent="0.35">
      <c r="A19" s="582"/>
      <c r="B19" s="596" t="s">
        <v>162</v>
      </c>
      <c r="C19" s="590"/>
      <c r="D19" s="590"/>
      <c r="E19" s="591"/>
      <c r="F19" s="592"/>
      <c r="G19" s="585"/>
      <c r="H19" s="585"/>
      <c r="I19" s="585"/>
      <c r="J19" s="585"/>
      <c r="K19" s="585"/>
      <c r="L19" s="585"/>
      <c r="M19" s="593"/>
    </row>
    <row r="20" spans="1:13" s="576" customFormat="1" ht="20.25" customHeight="1" x14ac:dyDescent="0.35">
      <c r="A20" s="582"/>
      <c r="B20" s="597" t="s">
        <v>163</v>
      </c>
      <c r="C20" s="590"/>
      <c r="D20" s="590"/>
      <c r="E20" s="591"/>
      <c r="F20" s="585"/>
      <c r="G20" s="585"/>
      <c r="H20" s="585"/>
      <c r="I20" s="585"/>
      <c r="J20" s="585"/>
      <c r="K20" s="585"/>
      <c r="L20" s="585"/>
      <c r="M20" s="593"/>
    </row>
    <row r="21" spans="1:13" s="576" customFormat="1" ht="28" x14ac:dyDescent="0.35">
      <c r="A21" s="582"/>
      <c r="B21" s="597" t="s">
        <v>164</v>
      </c>
      <c r="C21" s="590"/>
      <c r="D21" s="590"/>
      <c r="E21" s="591"/>
      <c r="F21" s="585"/>
      <c r="G21" s="585"/>
      <c r="H21" s="585"/>
      <c r="I21" s="585"/>
      <c r="J21" s="585"/>
      <c r="K21" s="585"/>
      <c r="L21" s="585"/>
      <c r="M21" s="593"/>
    </row>
    <row r="22" spans="1:13" s="576" customFormat="1" x14ac:dyDescent="0.35">
      <c r="A22" s="582"/>
      <c r="B22" s="597" t="s">
        <v>165</v>
      </c>
      <c r="C22" s="590"/>
      <c r="D22" s="590"/>
      <c r="E22" s="591"/>
      <c r="F22" s="585"/>
      <c r="G22" s="585"/>
      <c r="H22" s="585"/>
      <c r="I22" s="585"/>
      <c r="J22" s="585"/>
      <c r="K22" s="585"/>
      <c r="L22" s="585"/>
      <c r="M22" s="593"/>
    </row>
    <row r="23" spans="1:13" s="576" customFormat="1" x14ac:dyDescent="0.35">
      <c r="A23" s="582"/>
      <c r="B23" s="597" t="s">
        <v>166</v>
      </c>
      <c r="C23" s="590"/>
      <c r="D23" s="590"/>
      <c r="E23" s="591"/>
      <c r="F23" s="592"/>
      <c r="G23" s="592"/>
      <c r="H23" s="592"/>
      <c r="I23" s="592"/>
      <c r="J23" s="592"/>
      <c r="K23" s="592"/>
      <c r="L23" s="592"/>
      <c r="M23" s="593"/>
    </row>
    <row r="24" spans="1:13" s="576" customFormat="1" x14ac:dyDescent="0.35">
      <c r="A24" s="582"/>
      <c r="B24" s="597" t="s">
        <v>167</v>
      </c>
      <c r="C24" s="590"/>
      <c r="D24" s="590"/>
      <c r="E24" s="591"/>
      <c r="F24" s="592"/>
      <c r="G24" s="592"/>
      <c r="H24" s="592"/>
      <c r="I24" s="592"/>
      <c r="J24" s="592"/>
      <c r="K24" s="592"/>
      <c r="L24" s="592"/>
      <c r="M24" s="593"/>
    </row>
    <row r="25" spans="1:13" s="576" customFormat="1" x14ac:dyDescent="0.35">
      <c r="A25" s="582"/>
      <c r="B25" s="597" t="s">
        <v>168</v>
      </c>
      <c r="C25" s="590"/>
      <c r="D25" s="590"/>
      <c r="E25" s="591"/>
      <c r="F25" s="585"/>
      <c r="G25" s="585"/>
      <c r="H25" s="585"/>
      <c r="I25" s="585"/>
      <c r="J25" s="585"/>
      <c r="K25" s="585"/>
      <c r="L25" s="585"/>
      <c r="M25" s="593"/>
    </row>
    <row r="26" spans="1:13" s="576" customFormat="1" x14ac:dyDescent="0.35">
      <c r="A26" s="582"/>
      <c r="B26" s="598" t="s">
        <v>169</v>
      </c>
      <c r="C26" s="590"/>
      <c r="D26" s="590"/>
      <c r="E26" s="591"/>
      <c r="F26" s="592"/>
      <c r="G26" s="585"/>
      <c r="H26" s="585"/>
      <c r="I26" s="585"/>
      <c r="J26" s="585"/>
      <c r="K26" s="585"/>
      <c r="L26" s="585"/>
      <c r="M26" s="593"/>
    </row>
    <row r="27" spans="1:13" s="576" customFormat="1" x14ac:dyDescent="0.35">
      <c r="A27" s="582"/>
      <c r="B27" s="598" t="s">
        <v>170</v>
      </c>
      <c r="C27" s="590"/>
      <c r="D27" s="590"/>
      <c r="E27" s="591"/>
      <c r="F27" s="592"/>
      <c r="G27" s="585"/>
      <c r="H27" s="585"/>
      <c r="I27" s="585"/>
      <c r="J27" s="585"/>
      <c r="K27" s="585"/>
      <c r="L27" s="585"/>
      <c r="M27" s="599"/>
    </row>
    <row r="28" spans="1:13" s="576" customFormat="1" ht="24" customHeight="1" x14ac:dyDescent="0.35">
      <c r="A28" s="570" t="s">
        <v>41</v>
      </c>
      <c r="B28" s="571" t="s">
        <v>171</v>
      </c>
      <c r="C28" s="572" t="s">
        <v>172</v>
      </c>
      <c r="D28" s="573"/>
      <c r="E28" s="571"/>
      <c r="F28" s="574">
        <f>+F29+F33</f>
        <v>0</v>
      </c>
      <c r="G28" s="574">
        <f t="shared" ref="G28:L28" si="3">+G29+G33</f>
        <v>0</v>
      </c>
      <c r="H28" s="574">
        <f t="shared" si="3"/>
        <v>0</v>
      </c>
      <c r="I28" s="574">
        <f t="shared" si="3"/>
        <v>0</v>
      </c>
      <c r="J28" s="574">
        <f t="shared" si="3"/>
        <v>0</v>
      </c>
      <c r="K28" s="574">
        <f t="shared" si="3"/>
        <v>0</v>
      </c>
      <c r="L28" s="574">
        <f t="shared" si="3"/>
        <v>0</v>
      </c>
      <c r="M28" s="575"/>
    </row>
    <row r="29" spans="1:13" s="576" customFormat="1" ht="19.5" customHeight="1" x14ac:dyDescent="0.35">
      <c r="A29" s="577" t="s">
        <v>17</v>
      </c>
      <c r="B29" s="578" t="s">
        <v>158</v>
      </c>
      <c r="C29" s="578"/>
      <c r="D29" s="579"/>
      <c r="E29" s="578"/>
      <c r="F29" s="580">
        <f>SUM(F30:F32)</f>
        <v>0</v>
      </c>
      <c r="G29" s="580">
        <f t="shared" ref="G29:L29" si="4">SUM(G30:G32)</f>
        <v>0</v>
      </c>
      <c r="H29" s="580">
        <f t="shared" si="4"/>
        <v>0</v>
      </c>
      <c r="I29" s="580">
        <f t="shared" si="4"/>
        <v>0</v>
      </c>
      <c r="J29" s="580">
        <f t="shared" si="4"/>
        <v>0</v>
      </c>
      <c r="K29" s="580">
        <f t="shared" si="4"/>
        <v>0</v>
      </c>
      <c r="L29" s="580">
        <f t="shared" si="4"/>
        <v>0</v>
      </c>
      <c r="M29" s="581"/>
    </row>
    <row r="30" spans="1:13" s="576" customFormat="1" x14ac:dyDescent="0.35">
      <c r="A30" s="582">
        <v>1</v>
      </c>
      <c r="B30" s="583" t="s">
        <v>159</v>
      </c>
      <c r="C30" s="583"/>
      <c r="D30" s="584"/>
      <c r="E30" s="583"/>
      <c r="F30" s="585">
        <v>0</v>
      </c>
      <c r="G30" s="585">
        <v>0</v>
      </c>
      <c r="H30" s="585">
        <v>0</v>
      </c>
      <c r="I30" s="585">
        <f>G30-H30</f>
        <v>0</v>
      </c>
      <c r="J30" s="585">
        <f>F30-I30</f>
        <v>0</v>
      </c>
      <c r="K30" s="585">
        <v>0</v>
      </c>
      <c r="L30" s="585">
        <v>0</v>
      </c>
      <c r="M30" s="586"/>
    </row>
    <row r="31" spans="1:13" s="576" customFormat="1" x14ac:dyDescent="0.35">
      <c r="A31" s="582">
        <v>2</v>
      </c>
      <c r="B31" s="583" t="s">
        <v>160</v>
      </c>
      <c r="C31" s="583"/>
      <c r="D31" s="584"/>
      <c r="E31" s="587"/>
      <c r="F31" s="585"/>
      <c r="G31" s="585"/>
      <c r="H31" s="585"/>
      <c r="I31" s="585"/>
      <c r="J31" s="585"/>
      <c r="K31" s="585"/>
      <c r="L31" s="585"/>
      <c r="M31" s="586"/>
    </row>
    <row r="32" spans="1:13" s="576" customFormat="1" x14ac:dyDescent="0.35">
      <c r="A32" s="582">
        <v>3</v>
      </c>
      <c r="B32" s="583" t="s">
        <v>160</v>
      </c>
      <c r="C32" s="583"/>
      <c r="D32" s="584"/>
      <c r="E32" s="587"/>
      <c r="F32" s="585"/>
      <c r="G32" s="585"/>
      <c r="H32" s="585"/>
      <c r="I32" s="585"/>
      <c r="J32" s="585"/>
      <c r="K32" s="585"/>
      <c r="L32" s="585"/>
      <c r="M32" s="586"/>
    </row>
    <row r="33" spans="1:13" s="576" customFormat="1" x14ac:dyDescent="0.35">
      <c r="A33" s="588" t="s">
        <v>129</v>
      </c>
      <c r="B33" s="589" t="s">
        <v>161</v>
      </c>
      <c r="C33" s="590"/>
      <c r="D33" s="590"/>
      <c r="E33" s="591"/>
      <c r="F33" s="592">
        <f>SUM(F34:F36)</f>
        <v>0</v>
      </c>
      <c r="G33" s="592">
        <f t="shared" ref="G33:L33" si="5">SUM(G34:G36)</f>
        <v>0</v>
      </c>
      <c r="H33" s="592">
        <f t="shared" si="5"/>
        <v>0</v>
      </c>
      <c r="I33" s="592">
        <f t="shared" si="5"/>
        <v>0</v>
      </c>
      <c r="J33" s="592">
        <f t="shared" si="5"/>
        <v>0</v>
      </c>
      <c r="K33" s="592">
        <f t="shared" si="5"/>
        <v>0</v>
      </c>
      <c r="L33" s="592">
        <f t="shared" si="5"/>
        <v>0</v>
      </c>
      <c r="M33" s="593"/>
    </row>
    <row r="34" spans="1:13" s="576" customFormat="1" x14ac:dyDescent="0.35">
      <c r="A34" s="582">
        <v>1</v>
      </c>
      <c r="B34" s="583" t="s">
        <v>159</v>
      </c>
      <c r="C34" s="590"/>
      <c r="D34" s="594"/>
      <c r="E34" s="595"/>
      <c r="F34" s="585">
        <v>0</v>
      </c>
      <c r="G34" s="585">
        <v>0</v>
      </c>
      <c r="H34" s="585">
        <v>0</v>
      </c>
      <c r="I34" s="585">
        <f>G34-H34</f>
        <v>0</v>
      </c>
      <c r="J34" s="585">
        <f>F34-I34</f>
        <v>0</v>
      </c>
      <c r="K34" s="585">
        <v>0</v>
      </c>
      <c r="L34" s="585">
        <v>0</v>
      </c>
      <c r="M34" s="593"/>
    </row>
    <row r="35" spans="1:13" s="576" customFormat="1" x14ac:dyDescent="0.35">
      <c r="A35" s="582">
        <v>2</v>
      </c>
      <c r="B35" s="583" t="s">
        <v>160</v>
      </c>
      <c r="C35" s="583"/>
      <c r="D35" s="584"/>
      <c r="E35" s="587"/>
      <c r="F35" s="585"/>
      <c r="G35" s="585"/>
      <c r="H35" s="585"/>
      <c r="I35" s="585"/>
      <c r="J35" s="585"/>
      <c r="K35" s="585"/>
      <c r="L35" s="585"/>
      <c r="M35" s="586"/>
    </row>
    <row r="36" spans="1:13" s="576" customFormat="1" x14ac:dyDescent="0.35">
      <c r="A36" s="582">
        <v>3</v>
      </c>
      <c r="B36" s="583" t="s">
        <v>160</v>
      </c>
      <c r="C36" s="583"/>
      <c r="D36" s="584"/>
      <c r="E36" s="587"/>
      <c r="F36" s="585"/>
      <c r="G36" s="585"/>
      <c r="H36" s="585"/>
      <c r="I36" s="585"/>
      <c r="J36" s="585"/>
      <c r="K36" s="585"/>
      <c r="L36" s="585"/>
      <c r="M36" s="586"/>
    </row>
    <row r="37" spans="1:13" s="576" customFormat="1" ht="22.5" customHeight="1" x14ac:dyDescent="0.35">
      <c r="A37" s="582"/>
      <c r="B37" s="596" t="s">
        <v>173</v>
      </c>
      <c r="C37" s="590"/>
      <c r="D37" s="590"/>
      <c r="E37" s="591"/>
      <c r="F37" s="592"/>
      <c r="G37" s="585"/>
      <c r="H37" s="585"/>
      <c r="I37" s="585"/>
      <c r="J37" s="585"/>
      <c r="K37" s="585"/>
      <c r="L37" s="585"/>
      <c r="M37" s="593"/>
    </row>
    <row r="38" spans="1:13" s="576" customFormat="1" ht="20.25" customHeight="1" x14ac:dyDescent="0.35">
      <c r="A38" s="582"/>
      <c r="B38" s="597" t="s">
        <v>163</v>
      </c>
      <c r="C38" s="590"/>
      <c r="D38" s="590"/>
      <c r="E38" s="591"/>
      <c r="F38" s="585"/>
      <c r="G38" s="585"/>
      <c r="H38" s="585"/>
      <c r="I38" s="585"/>
      <c r="J38" s="585"/>
      <c r="K38" s="585"/>
      <c r="L38" s="585"/>
      <c r="M38" s="593"/>
    </row>
    <row r="39" spans="1:13" s="576" customFormat="1" ht="28" x14ac:dyDescent="0.35">
      <c r="A39" s="582"/>
      <c r="B39" s="597" t="s">
        <v>164</v>
      </c>
      <c r="C39" s="590"/>
      <c r="D39" s="590"/>
      <c r="E39" s="591"/>
      <c r="F39" s="585"/>
      <c r="G39" s="585"/>
      <c r="H39" s="585"/>
      <c r="I39" s="585"/>
      <c r="J39" s="585"/>
      <c r="K39" s="585"/>
      <c r="L39" s="585"/>
      <c r="M39" s="593"/>
    </row>
    <row r="40" spans="1:13" s="576" customFormat="1" x14ac:dyDescent="0.35">
      <c r="A40" s="582"/>
      <c r="B40" s="597" t="s">
        <v>165</v>
      </c>
      <c r="C40" s="590"/>
      <c r="D40" s="590"/>
      <c r="E40" s="591"/>
      <c r="F40" s="585"/>
      <c r="G40" s="585"/>
      <c r="H40" s="585"/>
      <c r="I40" s="585"/>
      <c r="J40" s="585"/>
      <c r="K40" s="585"/>
      <c r="L40" s="585"/>
      <c r="M40" s="593"/>
    </row>
    <row r="41" spans="1:13" s="576" customFormat="1" x14ac:dyDescent="0.35">
      <c r="A41" s="582"/>
      <c r="B41" s="597" t="s">
        <v>166</v>
      </c>
      <c r="C41" s="590"/>
      <c r="D41" s="590"/>
      <c r="E41" s="591"/>
      <c r="F41" s="592"/>
      <c r="G41" s="592"/>
      <c r="H41" s="592"/>
      <c r="I41" s="592"/>
      <c r="J41" s="592"/>
      <c r="K41" s="592"/>
      <c r="L41" s="592"/>
      <c r="M41" s="593"/>
    </row>
    <row r="42" spans="1:13" s="576" customFormat="1" x14ac:dyDescent="0.35">
      <c r="A42" s="582"/>
      <c r="B42" s="597" t="s">
        <v>167</v>
      </c>
      <c r="C42" s="590"/>
      <c r="D42" s="590"/>
      <c r="E42" s="591"/>
      <c r="F42" s="592"/>
      <c r="G42" s="592"/>
      <c r="H42" s="592"/>
      <c r="I42" s="592"/>
      <c r="J42" s="592"/>
      <c r="K42" s="592"/>
      <c r="L42" s="592"/>
      <c r="M42" s="593"/>
    </row>
    <row r="43" spans="1:13" s="576" customFormat="1" x14ac:dyDescent="0.35">
      <c r="A43" s="582"/>
      <c r="B43" s="597" t="s">
        <v>168</v>
      </c>
      <c r="C43" s="590"/>
      <c r="D43" s="590"/>
      <c r="E43" s="591"/>
      <c r="F43" s="585"/>
      <c r="G43" s="585"/>
      <c r="H43" s="585"/>
      <c r="I43" s="585"/>
      <c r="J43" s="585"/>
      <c r="K43" s="585"/>
      <c r="L43" s="585"/>
      <c r="M43" s="593"/>
    </row>
    <row r="44" spans="1:13" s="576" customFormat="1" x14ac:dyDescent="0.35">
      <c r="A44" s="582"/>
      <c r="B44" s="598" t="s">
        <v>169</v>
      </c>
      <c r="C44" s="590"/>
      <c r="D44" s="590"/>
      <c r="E44" s="591"/>
      <c r="F44" s="592"/>
      <c r="G44" s="585"/>
      <c r="H44" s="585"/>
      <c r="I44" s="585"/>
      <c r="J44" s="585"/>
      <c r="K44" s="585"/>
      <c r="L44" s="585"/>
      <c r="M44" s="593"/>
    </row>
    <row r="45" spans="1:13" s="576" customFormat="1" x14ac:dyDescent="0.35">
      <c r="A45" s="582"/>
      <c r="B45" s="598" t="s">
        <v>170</v>
      </c>
      <c r="C45" s="590"/>
      <c r="D45" s="590"/>
      <c r="E45" s="591"/>
      <c r="F45" s="592"/>
      <c r="G45" s="585"/>
      <c r="H45" s="585"/>
      <c r="I45" s="585"/>
      <c r="J45" s="585"/>
      <c r="K45" s="585"/>
      <c r="L45" s="585"/>
      <c r="M45" s="599"/>
    </row>
    <row r="46" spans="1:13" s="576" customFormat="1" x14ac:dyDescent="0.35">
      <c r="A46" s="600"/>
      <c r="B46" s="601"/>
      <c r="C46" s="601"/>
      <c r="D46" s="602"/>
      <c r="E46" s="601"/>
      <c r="F46" s="603"/>
      <c r="G46" s="603"/>
      <c r="H46" s="603"/>
      <c r="I46" s="603"/>
      <c r="J46" s="603"/>
      <c r="K46" s="603"/>
      <c r="L46" s="603"/>
      <c r="M46" s="604"/>
    </row>
    <row r="47" spans="1:13" s="576" customFormat="1" ht="25.5" customHeight="1" x14ac:dyDescent="0.35">
      <c r="A47" s="570"/>
      <c r="B47" s="571" t="s">
        <v>174</v>
      </c>
      <c r="C47" s="572"/>
      <c r="D47" s="573"/>
      <c r="E47" s="571"/>
      <c r="F47" s="574"/>
      <c r="G47" s="574"/>
      <c r="H47" s="574"/>
      <c r="I47" s="574"/>
      <c r="J47" s="574"/>
      <c r="K47" s="574"/>
      <c r="L47" s="574"/>
      <c r="M47" s="575"/>
    </row>
    <row r="48" spans="1:13" s="576" customFormat="1" ht="28.5" customHeight="1" x14ac:dyDescent="0.35">
      <c r="A48" s="605"/>
      <c r="B48" s="606" t="s">
        <v>175</v>
      </c>
      <c r="C48" s="606"/>
      <c r="D48" s="607"/>
      <c r="E48" s="606"/>
      <c r="F48" s="580"/>
      <c r="G48" s="580"/>
      <c r="H48" s="580"/>
      <c r="I48" s="580"/>
      <c r="J48" s="580"/>
      <c r="K48" s="580"/>
      <c r="L48" s="580"/>
      <c r="M48" s="608"/>
    </row>
    <row r="49" spans="1:13" s="576" customFormat="1" ht="28" x14ac:dyDescent="0.35">
      <c r="A49" s="605"/>
      <c r="B49" s="609" t="s">
        <v>176</v>
      </c>
      <c r="C49" s="609"/>
      <c r="D49" s="610"/>
      <c r="E49" s="609"/>
      <c r="F49" s="580"/>
      <c r="G49" s="580"/>
      <c r="H49" s="580"/>
      <c r="I49" s="580"/>
      <c r="J49" s="580"/>
      <c r="K49" s="580"/>
      <c r="L49" s="580"/>
      <c r="M49" s="611"/>
    </row>
    <row r="50" spans="1:13" s="576" customFormat="1" x14ac:dyDescent="0.35">
      <c r="A50" s="605"/>
      <c r="B50" s="609" t="s">
        <v>177</v>
      </c>
      <c r="C50" s="609"/>
      <c r="D50" s="610"/>
      <c r="E50" s="609"/>
      <c r="F50" s="580"/>
      <c r="G50" s="580"/>
      <c r="H50" s="580"/>
      <c r="I50" s="580"/>
      <c r="J50" s="580"/>
      <c r="K50" s="580"/>
      <c r="L50" s="580"/>
      <c r="M50" s="611"/>
    </row>
    <row r="51" spans="1:13" s="576" customFormat="1" x14ac:dyDescent="0.35">
      <c r="A51" s="605"/>
      <c r="B51" s="609" t="s">
        <v>167</v>
      </c>
      <c r="C51" s="609"/>
      <c r="D51" s="610"/>
      <c r="E51" s="609"/>
      <c r="F51" s="612"/>
      <c r="G51" s="612"/>
      <c r="H51" s="612"/>
      <c r="I51" s="612"/>
      <c r="J51" s="612"/>
      <c r="K51" s="612"/>
      <c r="L51" s="612"/>
      <c r="M51" s="611"/>
    </row>
    <row r="52" spans="1:13" s="576" customFormat="1" x14ac:dyDescent="0.35">
      <c r="A52" s="605"/>
      <c r="B52" s="609" t="s">
        <v>178</v>
      </c>
      <c r="C52" s="609"/>
      <c r="D52" s="610"/>
      <c r="E52" s="609"/>
      <c r="F52" s="612"/>
      <c r="G52" s="612"/>
      <c r="H52" s="612"/>
      <c r="I52" s="612"/>
      <c r="J52" s="612"/>
      <c r="K52" s="612"/>
      <c r="L52" s="612"/>
      <c r="M52" s="611"/>
    </row>
    <row r="53" spans="1:13" s="619" customFormat="1" ht="14.5" thickBot="1" x14ac:dyDescent="0.4">
      <c r="A53" s="613"/>
      <c r="B53" s="614" t="s">
        <v>179</v>
      </c>
      <c r="C53" s="614"/>
      <c r="D53" s="615"/>
      <c r="E53" s="614"/>
      <c r="F53" s="616"/>
      <c r="G53" s="617"/>
      <c r="H53" s="617"/>
      <c r="I53" s="617"/>
      <c r="J53" s="617"/>
      <c r="K53" s="616"/>
      <c r="L53" s="616"/>
      <c r="M53" s="618"/>
    </row>
    <row r="54" spans="1:13" ht="21" customHeight="1" thickTop="1" x14ac:dyDescent="0.3">
      <c r="A54" s="531"/>
      <c r="B54" s="531"/>
      <c r="C54" s="531"/>
      <c r="D54" s="531"/>
      <c r="E54" s="531"/>
      <c r="F54" s="620"/>
      <c r="G54" s="557"/>
      <c r="H54" s="557"/>
      <c r="I54" s="557"/>
      <c r="J54" s="846" t="s">
        <v>42</v>
      </c>
      <c r="K54" s="846"/>
      <c r="L54" s="846"/>
      <c r="M54" s="846"/>
    </row>
    <row r="55" spans="1:13" ht="21" customHeight="1" x14ac:dyDescent="0.3">
      <c r="A55" s="531"/>
      <c r="B55" s="531"/>
      <c r="C55" s="531"/>
      <c r="D55" s="531"/>
      <c r="E55" s="531"/>
      <c r="F55" s="620"/>
      <c r="G55" s="557"/>
      <c r="H55" s="557"/>
      <c r="I55" s="557"/>
      <c r="J55" s="847" t="s">
        <v>43</v>
      </c>
      <c r="K55" s="847"/>
      <c r="L55" s="847"/>
      <c r="M55" s="847"/>
    </row>
    <row r="56" spans="1:13" x14ac:dyDescent="0.3">
      <c r="A56" s="531"/>
      <c r="B56" s="621" t="s">
        <v>180</v>
      </c>
      <c r="C56" s="531"/>
      <c r="D56" s="531"/>
      <c r="E56" s="531"/>
      <c r="F56" s="620"/>
      <c r="G56" s="557"/>
      <c r="H56" s="557"/>
      <c r="I56" s="557"/>
      <c r="J56" s="557"/>
      <c r="K56" s="174"/>
      <c r="L56" s="174"/>
      <c r="M56" s="546"/>
    </row>
    <row r="57" spans="1:13" x14ac:dyDescent="0.3">
      <c r="A57" s="531"/>
      <c r="B57" s="622" t="s">
        <v>181</v>
      </c>
      <c r="C57" s="531"/>
      <c r="D57" s="531"/>
      <c r="E57" s="531"/>
      <c r="F57" s="620"/>
      <c r="G57" s="557"/>
      <c r="H57" s="557"/>
      <c r="I57" s="557"/>
      <c r="J57" s="557"/>
      <c r="K57" s="174"/>
      <c r="L57" s="174"/>
      <c r="M57" s="546"/>
    </row>
    <row r="58" spans="1:13" x14ac:dyDescent="0.3">
      <c r="A58" s="531"/>
      <c r="B58" s="622" t="s">
        <v>182</v>
      </c>
      <c r="C58" s="531"/>
      <c r="D58" s="531"/>
      <c r="E58" s="531"/>
      <c r="F58" s="623"/>
      <c r="G58" s="557"/>
      <c r="H58" s="557"/>
      <c r="I58" s="557"/>
      <c r="J58" s="557"/>
      <c r="K58" s="174"/>
      <c r="L58" s="174"/>
      <c r="M58" s="546"/>
    </row>
    <row r="59" spans="1:13" x14ac:dyDescent="0.3">
      <c r="A59" s="531"/>
      <c r="B59" s="531"/>
      <c r="C59" s="531"/>
      <c r="D59" s="531"/>
      <c r="E59" s="531"/>
      <c r="F59" s="623"/>
      <c r="G59" s="557"/>
      <c r="H59" s="557"/>
      <c r="I59" s="557"/>
      <c r="J59" s="557"/>
      <c r="K59" s="174"/>
      <c r="L59" s="174"/>
      <c r="M59" s="546"/>
    </row>
    <row r="60" spans="1:13" ht="13.5" customHeight="1" x14ac:dyDescent="0.3">
      <c r="A60" s="531"/>
      <c r="B60" s="531"/>
      <c r="C60" s="531"/>
      <c r="D60" s="531"/>
      <c r="E60" s="531"/>
      <c r="F60" s="623"/>
      <c r="G60" s="557"/>
      <c r="H60" s="557"/>
      <c r="I60" s="557"/>
      <c r="J60" s="557"/>
      <c r="K60" s="174"/>
      <c r="L60" s="174"/>
      <c r="M60" s="546"/>
    </row>
    <row r="61" spans="1:13" x14ac:dyDescent="0.3">
      <c r="A61" s="531"/>
      <c r="B61" s="531"/>
      <c r="C61" s="531"/>
      <c r="D61" s="531"/>
      <c r="E61" s="531"/>
      <c r="F61" s="620"/>
      <c r="G61" s="557"/>
      <c r="H61" s="557"/>
      <c r="I61" s="557"/>
      <c r="J61" s="557"/>
      <c r="K61" s="174"/>
      <c r="L61" s="174"/>
      <c r="M61" s="546"/>
    </row>
    <row r="62" spans="1:13" x14ac:dyDescent="0.3">
      <c r="A62" s="531"/>
      <c r="B62" s="531"/>
      <c r="C62" s="531"/>
      <c r="D62" s="531"/>
      <c r="E62" s="531"/>
      <c r="F62" s="620"/>
      <c r="G62" s="557"/>
      <c r="H62" s="557"/>
      <c r="I62" s="557"/>
      <c r="J62" s="557"/>
      <c r="K62" s="174"/>
      <c r="L62" s="174"/>
      <c r="M62" s="546"/>
    </row>
    <row r="63" spans="1:13" x14ac:dyDescent="0.3">
      <c r="A63" s="531"/>
      <c r="B63" s="531"/>
      <c r="C63" s="531"/>
      <c r="D63" s="531"/>
      <c r="E63" s="531"/>
      <c r="F63" s="620"/>
      <c r="G63" s="557"/>
      <c r="H63" s="557"/>
      <c r="I63" s="557"/>
      <c r="J63" s="557"/>
      <c r="K63" s="174"/>
      <c r="L63" s="174"/>
      <c r="M63" s="546"/>
    </row>
    <row r="64" spans="1:13" x14ac:dyDescent="0.3">
      <c r="A64" s="531"/>
      <c r="B64" s="531"/>
      <c r="C64" s="531"/>
      <c r="D64" s="531"/>
      <c r="E64" s="531"/>
      <c r="F64" s="620"/>
      <c r="G64" s="557"/>
      <c r="H64" s="557"/>
      <c r="I64" s="557"/>
      <c r="J64" s="557"/>
      <c r="K64" s="174"/>
      <c r="L64" s="174"/>
      <c r="M64" s="546"/>
    </row>
    <row r="65" spans="1:13" x14ac:dyDescent="0.3">
      <c r="A65" s="531"/>
      <c r="B65" s="531"/>
      <c r="C65" s="531"/>
      <c r="D65" s="531"/>
      <c r="E65" s="531"/>
      <c r="F65" s="620"/>
      <c r="G65" s="557"/>
      <c r="H65" s="557"/>
      <c r="I65" s="557"/>
      <c r="J65" s="557"/>
      <c r="K65" s="174"/>
      <c r="L65" s="174"/>
      <c r="M65" s="546"/>
    </row>
    <row r="66" spans="1:13" x14ac:dyDescent="0.3">
      <c r="A66" s="531"/>
      <c r="B66" s="531"/>
      <c r="C66" s="531"/>
      <c r="D66" s="531"/>
      <c r="E66" s="531"/>
      <c r="F66" s="620"/>
      <c r="G66" s="557"/>
      <c r="H66" s="557"/>
      <c r="I66" s="557"/>
      <c r="J66" s="557"/>
      <c r="K66" s="174"/>
      <c r="L66" s="174"/>
      <c r="M66" s="546"/>
    </row>
    <row r="67" spans="1:13" x14ac:dyDescent="0.3">
      <c r="A67" s="531"/>
      <c r="B67" s="531"/>
      <c r="C67" s="531"/>
      <c r="D67" s="531"/>
      <c r="E67" s="531"/>
      <c r="F67" s="620"/>
      <c r="G67" s="557"/>
      <c r="H67" s="557"/>
      <c r="I67" s="557"/>
      <c r="J67" s="557"/>
      <c r="K67" s="174"/>
      <c r="L67" s="174"/>
      <c r="M67" s="546"/>
    </row>
    <row r="68" spans="1:13" x14ac:dyDescent="0.3">
      <c r="A68" s="531"/>
      <c r="B68" s="531"/>
      <c r="C68" s="531"/>
      <c r="D68" s="531"/>
      <c r="E68" s="531"/>
      <c r="F68" s="620"/>
      <c r="G68" s="557"/>
      <c r="H68" s="557"/>
      <c r="I68" s="557"/>
      <c r="J68" s="557"/>
      <c r="K68" s="174"/>
      <c r="L68" s="174"/>
      <c r="M68" s="546"/>
    </row>
    <row r="69" spans="1:13" x14ac:dyDescent="0.3">
      <c r="A69" s="531"/>
      <c r="B69" s="531"/>
      <c r="C69" s="531"/>
      <c r="D69" s="531"/>
      <c r="E69" s="531"/>
      <c r="F69" s="620"/>
      <c r="G69" s="557"/>
      <c r="H69" s="557"/>
      <c r="I69" s="557"/>
      <c r="J69" s="557"/>
      <c r="K69" s="174"/>
      <c r="L69" s="174"/>
      <c r="M69" s="546"/>
    </row>
    <row r="70" spans="1:13" x14ac:dyDescent="0.3">
      <c r="A70" s="531"/>
      <c r="B70" s="531"/>
      <c r="C70" s="531"/>
      <c r="D70" s="531"/>
      <c r="E70" s="531"/>
      <c r="F70" s="620"/>
      <c r="G70" s="557"/>
      <c r="H70" s="557"/>
      <c r="I70" s="557"/>
      <c r="J70" s="557"/>
      <c r="K70" s="174"/>
      <c r="L70" s="174"/>
      <c r="M70" s="546"/>
    </row>
    <row r="71" spans="1:13" x14ac:dyDescent="0.3">
      <c r="A71" s="531"/>
      <c r="B71" s="531"/>
      <c r="C71" s="531"/>
      <c r="D71" s="531"/>
      <c r="E71" s="531"/>
      <c r="F71" s="620"/>
      <c r="G71" s="557"/>
      <c r="H71" s="557"/>
      <c r="I71" s="557"/>
      <c r="J71" s="557"/>
      <c r="K71" s="174"/>
      <c r="L71" s="174"/>
      <c r="M71" s="546"/>
    </row>
    <row r="72" spans="1:13" x14ac:dyDescent="0.3">
      <c r="A72" s="531"/>
      <c r="B72" s="531"/>
      <c r="C72" s="531"/>
      <c r="D72" s="531"/>
      <c r="E72" s="531"/>
      <c r="F72" s="620"/>
      <c r="G72" s="557"/>
      <c r="H72" s="557"/>
      <c r="I72" s="557"/>
      <c r="J72" s="557"/>
      <c r="K72" s="174"/>
      <c r="L72" s="174"/>
      <c r="M72" s="546"/>
    </row>
    <row r="73" spans="1:13" x14ac:dyDescent="0.3">
      <c r="A73" s="531"/>
      <c r="B73" s="531"/>
      <c r="C73" s="531"/>
      <c r="D73" s="531"/>
      <c r="E73" s="531"/>
      <c r="F73" s="620"/>
      <c r="G73" s="557"/>
      <c r="H73" s="557"/>
      <c r="I73" s="557"/>
      <c r="J73" s="557"/>
      <c r="K73" s="174"/>
      <c r="L73" s="174"/>
      <c r="M73" s="546"/>
    </row>
    <row r="74" spans="1:13" x14ac:dyDescent="0.3">
      <c r="A74" s="531"/>
      <c r="B74" s="531"/>
      <c r="C74" s="531"/>
      <c r="D74" s="531"/>
      <c r="E74" s="531"/>
      <c r="F74" s="620"/>
      <c r="G74" s="557"/>
      <c r="H74" s="557"/>
      <c r="I74" s="557"/>
      <c r="J74" s="557"/>
      <c r="K74" s="174"/>
      <c r="L74" s="174"/>
      <c r="M74" s="546"/>
    </row>
    <row r="75" spans="1:13" x14ac:dyDescent="0.3">
      <c r="A75" s="531"/>
      <c r="B75" s="531"/>
      <c r="C75" s="531"/>
      <c r="D75" s="531"/>
      <c r="E75" s="531"/>
      <c r="F75" s="620"/>
      <c r="G75" s="557"/>
      <c r="H75" s="557"/>
      <c r="I75" s="557"/>
      <c r="J75" s="557"/>
      <c r="K75" s="174"/>
      <c r="L75" s="174"/>
      <c r="M75" s="546"/>
    </row>
    <row r="76" spans="1:13" x14ac:dyDescent="0.3">
      <c r="A76" s="531"/>
      <c r="B76" s="531"/>
      <c r="C76" s="531"/>
      <c r="D76" s="531"/>
      <c r="E76" s="531"/>
      <c r="F76" s="620"/>
      <c r="G76" s="557"/>
      <c r="H76" s="557"/>
      <c r="I76" s="557"/>
      <c r="J76" s="557"/>
      <c r="K76" s="174"/>
      <c r="L76" s="174"/>
      <c r="M76" s="546"/>
    </row>
    <row r="77" spans="1:13" x14ac:dyDescent="0.3">
      <c r="A77" s="531"/>
      <c r="B77" s="531"/>
      <c r="C77" s="531"/>
      <c r="D77" s="531"/>
      <c r="E77" s="531"/>
      <c r="F77" s="620"/>
      <c r="G77" s="557"/>
      <c r="H77" s="557"/>
      <c r="I77" s="557"/>
      <c r="J77" s="557"/>
      <c r="K77" s="174"/>
      <c r="L77" s="174"/>
      <c r="M77" s="546"/>
    </row>
    <row r="78" spans="1:13" x14ac:dyDescent="0.3">
      <c r="A78" s="531"/>
      <c r="B78" s="531"/>
      <c r="C78" s="531"/>
      <c r="D78" s="531"/>
      <c r="E78" s="531"/>
      <c r="F78" s="620"/>
      <c r="G78" s="557"/>
      <c r="H78" s="557"/>
      <c r="I78" s="557"/>
      <c r="J78" s="557"/>
      <c r="K78" s="174"/>
      <c r="L78" s="174"/>
      <c r="M78" s="546"/>
    </row>
    <row r="79" spans="1:13" x14ac:dyDescent="0.3">
      <c r="A79" s="531"/>
      <c r="B79" s="531"/>
      <c r="C79" s="531"/>
      <c r="D79" s="531"/>
      <c r="E79" s="531"/>
      <c r="F79" s="620"/>
      <c r="G79" s="557"/>
      <c r="H79" s="557"/>
      <c r="I79" s="557"/>
      <c r="J79" s="557"/>
      <c r="K79" s="174"/>
      <c r="L79" s="174"/>
      <c r="M79" s="546"/>
    </row>
    <row r="80" spans="1:13" x14ac:dyDescent="0.3">
      <c r="A80" s="531"/>
      <c r="B80" s="531"/>
      <c r="C80" s="531"/>
      <c r="D80" s="531"/>
      <c r="E80" s="531"/>
      <c r="F80" s="620"/>
      <c r="G80" s="557"/>
      <c r="H80" s="557"/>
      <c r="I80" s="557"/>
      <c r="J80" s="557"/>
      <c r="K80" s="174"/>
      <c r="L80" s="174"/>
      <c r="M80" s="546"/>
    </row>
    <row r="81" spans="1:13" x14ac:dyDescent="0.3">
      <c r="A81" s="531"/>
      <c r="B81" s="531"/>
      <c r="C81" s="531"/>
      <c r="D81" s="531"/>
      <c r="E81" s="531"/>
      <c r="F81" s="620"/>
      <c r="G81" s="557"/>
      <c r="H81" s="557"/>
      <c r="I81" s="557"/>
      <c r="J81" s="557"/>
      <c r="K81" s="174"/>
      <c r="L81" s="174"/>
      <c r="M81" s="546"/>
    </row>
  </sheetData>
  <mergeCells count="20">
    <mergeCell ref="A1:E1"/>
    <mergeCell ref="A2:E2"/>
    <mergeCell ref="A3:M3"/>
    <mergeCell ref="A5:M5"/>
    <mergeCell ref="A7:A8"/>
    <mergeCell ref="B7:B8"/>
    <mergeCell ref="C7:C8"/>
    <mergeCell ref="D7:D8"/>
    <mergeCell ref="E7:E8"/>
    <mergeCell ref="F7:F8"/>
    <mergeCell ref="M7:M8"/>
    <mergeCell ref="A4:M4"/>
    <mergeCell ref="J54:M54"/>
    <mergeCell ref="J55:M55"/>
    <mergeCell ref="G7:G8"/>
    <mergeCell ref="H7:H8"/>
    <mergeCell ref="I7:I8"/>
    <mergeCell ref="J7:J8"/>
    <mergeCell ref="K7:K8"/>
    <mergeCell ref="L7:L8"/>
  </mergeCells>
  <pageMargins left="0.24" right="0.17" top="0.39" bottom="0.21" header="0.3" footer="0.3"/>
  <pageSetup paperSize="9" scale="8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F7634-3BE3-493C-85F7-D21B51A5E616}">
  <sheetPr>
    <tabColor rgb="FFFF0000"/>
    <pageSetUpPr fitToPage="1"/>
  </sheetPr>
  <dimension ref="A1:Q48"/>
  <sheetViews>
    <sheetView topLeftCell="B11" workbookViewId="0">
      <selection activeCell="K36" sqref="K36"/>
    </sheetView>
  </sheetViews>
  <sheetFormatPr defaultRowHeight="14.5" x14ac:dyDescent="0.35"/>
  <cols>
    <col min="1" max="1" width="4.90625" style="56" customWidth="1"/>
    <col min="2" max="2" width="31.08984375" style="57" customWidth="1"/>
    <col min="3" max="3" width="7.6328125" style="57" customWidth="1"/>
    <col min="4" max="4" width="5" customWidth="1"/>
    <col min="5" max="5" width="7.26953125" customWidth="1"/>
    <col min="6" max="6" width="5.6328125" customWidth="1"/>
    <col min="7" max="7" width="8.26953125" customWidth="1"/>
    <col min="8" max="8" width="5" customWidth="1"/>
    <col min="9" max="9" width="7.26953125" customWidth="1"/>
    <col min="10" max="10" width="6.6328125" customWidth="1"/>
    <col min="11" max="11" width="10.90625" customWidth="1"/>
    <col min="12" max="12" width="5" customWidth="1"/>
    <col min="13" max="13" width="7.36328125" customWidth="1"/>
    <col min="14" max="14" width="7.6328125" customWidth="1"/>
    <col min="15" max="15" width="9" customWidth="1"/>
    <col min="16" max="16" width="16.36328125" customWidth="1"/>
  </cols>
  <sheetData>
    <row r="1" spans="1:16" ht="15.5" x14ac:dyDescent="0.35">
      <c r="A1" s="871" t="s">
        <v>0</v>
      </c>
      <c r="B1" s="871"/>
      <c r="C1" s="1"/>
      <c r="D1" s="844"/>
      <c r="E1" s="844"/>
      <c r="F1" s="844"/>
      <c r="G1" s="844"/>
      <c r="H1" s="844"/>
      <c r="I1" s="844"/>
      <c r="J1" s="844"/>
      <c r="K1" s="844"/>
      <c r="L1" s="844"/>
      <c r="M1" s="844"/>
      <c r="N1" s="844"/>
      <c r="O1" s="844"/>
      <c r="P1" s="143" t="s">
        <v>194</v>
      </c>
    </row>
    <row r="2" spans="1:16" ht="15.5" x14ac:dyDescent="0.35">
      <c r="A2" s="825" t="s">
        <v>195</v>
      </c>
      <c r="B2" s="825"/>
      <c r="C2" s="1"/>
      <c r="D2" s="872"/>
      <c r="E2" s="872"/>
      <c r="F2" s="872"/>
      <c r="G2" s="872"/>
      <c r="H2" s="872"/>
      <c r="I2" s="872"/>
      <c r="J2" s="872"/>
      <c r="K2" s="872"/>
      <c r="L2" s="872"/>
      <c r="M2" s="872"/>
      <c r="N2" s="872"/>
      <c r="O2" s="872"/>
      <c r="P2" s="2"/>
    </row>
    <row r="3" spans="1:16" ht="25" customHeight="1" x14ac:dyDescent="0.35">
      <c r="A3" s="817" t="s">
        <v>196</v>
      </c>
      <c r="B3" s="817"/>
      <c r="C3" s="817"/>
      <c r="D3" s="817"/>
      <c r="E3" s="817"/>
      <c r="F3" s="817"/>
      <c r="G3" s="817"/>
      <c r="H3" s="817"/>
      <c r="I3" s="817"/>
      <c r="J3" s="817"/>
      <c r="K3" s="817"/>
      <c r="L3" s="817"/>
      <c r="M3" s="817"/>
      <c r="N3" s="817"/>
      <c r="O3" s="817"/>
      <c r="P3" s="817"/>
    </row>
    <row r="4" spans="1:16" ht="15" thickBot="1" x14ac:dyDescent="0.4">
      <c r="A4" s="3"/>
      <c r="B4" s="3"/>
      <c r="C4" s="3"/>
      <c r="D4" s="3"/>
      <c r="E4" s="3"/>
      <c r="F4" s="3"/>
      <c r="G4" s="870" t="s">
        <v>197</v>
      </c>
      <c r="H4" s="870"/>
      <c r="I4" s="870"/>
      <c r="J4" s="870"/>
      <c r="K4" s="870"/>
      <c r="L4" s="870"/>
      <c r="M4" s="870"/>
      <c r="N4" s="870"/>
      <c r="O4" s="870"/>
      <c r="P4" s="870"/>
    </row>
    <row r="5" spans="1:16" ht="29.25" customHeight="1" thickTop="1" x14ac:dyDescent="0.35">
      <c r="A5" s="865" t="s">
        <v>5</v>
      </c>
      <c r="B5" s="867" t="s">
        <v>198</v>
      </c>
      <c r="C5" s="867" t="s">
        <v>148</v>
      </c>
      <c r="D5" s="869" t="s">
        <v>199</v>
      </c>
      <c r="E5" s="869"/>
      <c r="F5" s="869"/>
      <c r="G5" s="869"/>
      <c r="H5" s="869" t="s">
        <v>200</v>
      </c>
      <c r="I5" s="869"/>
      <c r="J5" s="869"/>
      <c r="K5" s="869"/>
      <c r="L5" s="869" t="s">
        <v>201</v>
      </c>
      <c r="M5" s="869"/>
      <c r="N5" s="869"/>
      <c r="O5" s="869"/>
      <c r="P5" s="860" t="s">
        <v>16</v>
      </c>
    </row>
    <row r="6" spans="1:16" ht="39" x14ac:dyDescent="0.35">
      <c r="A6" s="866"/>
      <c r="B6" s="868"/>
      <c r="C6" s="868"/>
      <c r="D6" s="144" t="s">
        <v>202</v>
      </c>
      <c r="E6" s="144" t="s">
        <v>203</v>
      </c>
      <c r="F6" s="144" t="s">
        <v>204</v>
      </c>
      <c r="G6" s="144" t="s">
        <v>205</v>
      </c>
      <c r="H6" s="144" t="s">
        <v>202</v>
      </c>
      <c r="I6" s="144" t="s">
        <v>203</v>
      </c>
      <c r="J6" s="144" t="s">
        <v>204</v>
      </c>
      <c r="K6" s="144" t="s">
        <v>205</v>
      </c>
      <c r="L6" s="144" t="s">
        <v>202</v>
      </c>
      <c r="M6" s="144" t="s">
        <v>203</v>
      </c>
      <c r="N6" s="144" t="s">
        <v>204</v>
      </c>
      <c r="O6" s="144" t="s">
        <v>205</v>
      </c>
      <c r="P6" s="861"/>
    </row>
    <row r="7" spans="1:16" x14ac:dyDescent="0.35">
      <c r="A7" s="145" t="s">
        <v>88</v>
      </c>
      <c r="B7" s="146" t="s">
        <v>89</v>
      </c>
      <c r="C7" s="147" t="s">
        <v>90</v>
      </c>
      <c r="D7" s="147" t="s">
        <v>91</v>
      </c>
      <c r="E7" s="147" t="s">
        <v>92</v>
      </c>
      <c r="F7" s="147" t="s">
        <v>152</v>
      </c>
      <c r="G7" s="147" t="s">
        <v>93</v>
      </c>
      <c r="H7" s="147" t="s">
        <v>153</v>
      </c>
      <c r="I7" s="147" t="s">
        <v>206</v>
      </c>
      <c r="J7" s="147" t="s">
        <v>94</v>
      </c>
      <c r="K7" s="148" t="s">
        <v>95</v>
      </c>
      <c r="L7" s="147" t="s">
        <v>96</v>
      </c>
      <c r="M7" s="147" t="s">
        <v>97</v>
      </c>
      <c r="N7" s="147" t="s">
        <v>98</v>
      </c>
      <c r="O7" s="147" t="s">
        <v>99</v>
      </c>
      <c r="P7" s="149" t="s">
        <v>100</v>
      </c>
    </row>
    <row r="8" spans="1:16" s="154" customFormat="1" ht="26" x14ac:dyDescent="0.35">
      <c r="A8" s="150"/>
      <c r="B8" s="151" t="s">
        <v>207</v>
      </c>
      <c r="C8" s="152"/>
      <c r="D8" s="152"/>
      <c r="E8" s="152"/>
      <c r="F8" s="152"/>
      <c r="G8" s="152"/>
      <c r="H8" s="152"/>
      <c r="I8" s="152"/>
      <c r="J8" s="152"/>
      <c r="K8" s="152"/>
      <c r="L8" s="152"/>
      <c r="M8" s="152"/>
      <c r="N8" s="152"/>
      <c r="O8" s="152"/>
      <c r="P8" s="153"/>
    </row>
    <row r="9" spans="1:16" ht="26" x14ac:dyDescent="0.35">
      <c r="A9" s="155"/>
      <c r="B9" s="156" t="s">
        <v>208</v>
      </c>
      <c r="C9" s="157"/>
      <c r="D9" s="157"/>
      <c r="E9" s="157"/>
      <c r="F9" s="157"/>
      <c r="G9" s="157"/>
      <c r="H9" s="157"/>
      <c r="I9" s="157"/>
      <c r="J9" s="157"/>
      <c r="K9" s="157"/>
      <c r="L9" s="157"/>
      <c r="M9" s="157"/>
      <c r="N9" s="157"/>
      <c r="O9" s="157"/>
      <c r="P9" s="158"/>
    </row>
    <row r="10" spans="1:16" ht="26" x14ac:dyDescent="0.35">
      <c r="A10" s="155"/>
      <c r="B10" s="156" t="s">
        <v>209</v>
      </c>
      <c r="C10" s="157"/>
      <c r="D10" s="157"/>
      <c r="E10" s="157"/>
      <c r="F10" s="157"/>
      <c r="G10" s="157"/>
      <c r="H10" s="157"/>
      <c r="I10" s="157"/>
      <c r="J10" s="157"/>
      <c r="K10" s="157"/>
      <c r="L10" s="157"/>
      <c r="M10" s="157"/>
      <c r="N10" s="157"/>
      <c r="O10" s="157"/>
      <c r="P10" s="158"/>
    </row>
    <row r="11" spans="1:16" ht="26" x14ac:dyDescent="0.35">
      <c r="A11" s="155"/>
      <c r="B11" s="156" t="s">
        <v>210</v>
      </c>
      <c r="C11" s="157"/>
      <c r="D11" s="157"/>
      <c r="E11" s="157"/>
      <c r="F11" s="157"/>
      <c r="G11" s="157"/>
      <c r="H11" s="157"/>
      <c r="I11" s="157"/>
      <c r="J11" s="157"/>
      <c r="K11" s="157"/>
      <c r="L11" s="157"/>
      <c r="M11" s="157"/>
      <c r="N11" s="157"/>
      <c r="O11" s="157"/>
      <c r="P11" s="158"/>
    </row>
    <row r="12" spans="1:16" ht="26" x14ac:dyDescent="0.35">
      <c r="A12" s="155"/>
      <c r="B12" s="156" t="s">
        <v>211</v>
      </c>
      <c r="C12" s="157"/>
      <c r="D12" s="157"/>
      <c r="E12" s="157"/>
      <c r="F12" s="157"/>
      <c r="G12" s="157"/>
      <c r="H12" s="157"/>
      <c r="I12" s="157"/>
      <c r="J12" s="157"/>
      <c r="K12" s="157"/>
      <c r="L12" s="157"/>
      <c r="M12" s="157"/>
      <c r="N12" s="157"/>
      <c r="O12" s="157"/>
      <c r="P12" s="158"/>
    </row>
    <row r="13" spans="1:16" x14ac:dyDescent="0.35">
      <c r="A13" s="155"/>
      <c r="B13" s="156" t="s">
        <v>212</v>
      </c>
      <c r="C13" s="157"/>
      <c r="D13" s="157"/>
      <c r="E13" s="157"/>
      <c r="F13" s="157"/>
      <c r="G13" s="157"/>
      <c r="H13" s="157"/>
      <c r="I13" s="157"/>
      <c r="J13" s="157"/>
      <c r="K13" s="157"/>
      <c r="L13" s="157"/>
      <c r="M13" s="157"/>
      <c r="N13" s="157"/>
      <c r="O13" s="157"/>
      <c r="P13" s="158"/>
    </row>
    <row r="14" spans="1:16" s="87" customFormat="1" ht="13" x14ac:dyDescent="0.35">
      <c r="A14" s="159" t="s">
        <v>19</v>
      </c>
      <c r="B14" s="160" t="s">
        <v>850</v>
      </c>
      <c r="C14" s="166"/>
      <c r="D14" s="167"/>
      <c r="E14" s="167"/>
      <c r="F14" s="167"/>
      <c r="G14" s="167"/>
      <c r="H14" s="167"/>
      <c r="I14" s="167"/>
      <c r="J14" s="167"/>
      <c r="K14" s="162"/>
      <c r="L14" s="162"/>
      <c r="M14" s="162"/>
      <c r="N14" s="162"/>
      <c r="O14" s="162"/>
      <c r="P14" s="163"/>
    </row>
    <row r="15" spans="1:16" s="87" customFormat="1" ht="13" x14ac:dyDescent="0.35">
      <c r="A15" s="774">
        <v>1</v>
      </c>
      <c r="B15" s="156" t="s">
        <v>833</v>
      </c>
      <c r="C15" s="211" t="s">
        <v>851</v>
      </c>
      <c r="D15" s="211">
        <f>SUM(E15:G15)</f>
        <v>650</v>
      </c>
      <c r="E15" s="211">
        <v>200</v>
      </c>
      <c r="F15" s="211">
        <v>235</v>
      </c>
      <c r="G15" s="211">
        <v>215</v>
      </c>
      <c r="H15" s="211">
        <f>SUM(I15:K15)</f>
        <v>50</v>
      </c>
      <c r="I15" s="774">
        <f>E15*25%</f>
        <v>50</v>
      </c>
      <c r="J15" s="156"/>
      <c r="K15" s="157"/>
      <c r="L15" s="157">
        <f>SUM(M15:O15)</f>
        <v>600</v>
      </c>
      <c r="M15" s="775">
        <f>E15-I15</f>
        <v>150</v>
      </c>
      <c r="N15" s="775">
        <f t="shared" ref="N15:O30" si="0">F15-J15</f>
        <v>235</v>
      </c>
      <c r="O15" s="775">
        <f t="shared" si="0"/>
        <v>215</v>
      </c>
      <c r="P15" s="168" t="s">
        <v>853</v>
      </c>
    </row>
    <row r="16" spans="1:16" s="87" customFormat="1" ht="13" x14ac:dyDescent="0.35">
      <c r="A16" s="774">
        <v>2</v>
      </c>
      <c r="B16" s="156" t="s">
        <v>834</v>
      </c>
      <c r="C16" s="211" t="s">
        <v>851</v>
      </c>
      <c r="D16" s="211">
        <f t="shared" ref="D16:D31" si="1">SUM(E16:G16)</f>
        <v>650</v>
      </c>
      <c r="E16" s="211">
        <v>200</v>
      </c>
      <c r="F16" s="211">
        <v>235</v>
      </c>
      <c r="G16" s="211">
        <v>215</v>
      </c>
      <c r="H16" s="211">
        <f t="shared" ref="H16:H31" si="2">SUM(I16:K16)</f>
        <v>0</v>
      </c>
      <c r="I16" s="774"/>
      <c r="J16" s="156"/>
      <c r="K16" s="157"/>
      <c r="L16" s="157">
        <f t="shared" ref="L16:L31" si="3">SUM(M16:O16)</f>
        <v>650</v>
      </c>
      <c r="M16" s="775">
        <f t="shared" ref="M16:O31" si="4">E16-I16</f>
        <v>200</v>
      </c>
      <c r="N16" s="775">
        <f t="shared" si="0"/>
        <v>235</v>
      </c>
      <c r="O16" s="775">
        <f t="shared" si="0"/>
        <v>215</v>
      </c>
      <c r="P16" s="168"/>
    </row>
    <row r="17" spans="1:16" s="87" customFormat="1" ht="13" x14ac:dyDescent="0.35">
      <c r="A17" s="774">
        <v>3</v>
      </c>
      <c r="B17" s="156" t="s">
        <v>835</v>
      </c>
      <c r="C17" s="211" t="s">
        <v>851</v>
      </c>
      <c r="D17" s="211">
        <f t="shared" si="1"/>
        <v>650</v>
      </c>
      <c r="E17" s="211">
        <v>200</v>
      </c>
      <c r="F17" s="211">
        <v>225</v>
      </c>
      <c r="G17" s="211">
        <v>225</v>
      </c>
      <c r="H17" s="211">
        <f t="shared" si="2"/>
        <v>0</v>
      </c>
      <c r="I17" s="774"/>
      <c r="J17" s="156"/>
      <c r="K17" s="157"/>
      <c r="L17" s="157">
        <f t="shared" si="3"/>
        <v>650</v>
      </c>
      <c r="M17" s="775">
        <f t="shared" si="4"/>
        <v>200</v>
      </c>
      <c r="N17" s="775">
        <f t="shared" si="0"/>
        <v>225</v>
      </c>
      <c r="O17" s="775">
        <f t="shared" si="0"/>
        <v>225</v>
      </c>
      <c r="P17" s="168"/>
    </row>
    <row r="18" spans="1:16" s="87" customFormat="1" ht="13" x14ac:dyDescent="0.35">
      <c r="A18" s="774">
        <v>4</v>
      </c>
      <c r="B18" s="156" t="s">
        <v>836</v>
      </c>
      <c r="C18" s="211" t="s">
        <v>852</v>
      </c>
      <c r="D18" s="211">
        <f t="shared" si="1"/>
        <v>650</v>
      </c>
      <c r="E18" s="211">
        <v>200</v>
      </c>
      <c r="F18" s="211">
        <v>295</v>
      </c>
      <c r="G18" s="211">
        <v>155</v>
      </c>
      <c r="H18" s="211">
        <f t="shared" si="2"/>
        <v>0</v>
      </c>
      <c r="I18" s="774"/>
      <c r="J18" s="156"/>
      <c r="K18" s="157"/>
      <c r="L18" s="157">
        <f t="shared" si="3"/>
        <v>650</v>
      </c>
      <c r="M18" s="775">
        <f t="shared" si="4"/>
        <v>200</v>
      </c>
      <c r="N18" s="775">
        <f t="shared" si="0"/>
        <v>295</v>
      </c>
      <c r="O18" s="775">
        <f t="shared" si="0"/>
        <v>155</v>
      </c>
      <c r="P18" s="168"/>
    </row>
    <row r="19" spans="1:16" s="87" customFormat="1" ht="13" x14ac:dyDescent="0.35">
      <c r="A19" s="774">
        <v>5</v>
      </c>
      <c r="B19" s="156" t="s">
        <v>837</v>
      </c>
      <c r="C19" s="211" t="s">
        <v>851</v>
      </c>
      <c r="D19" s="211">
        <f t="shared" si="1"/>
        <v>650</v>
      </c>
      <c r="E19" s="211">
        <v>200</v>
      </c>
      <c r="F19" s="211">
        <v>225</v>
      </c>
      <c r="G19" s="211">
        <v>225</v>
      </c>
      <c r="H19" s="211">
        <f t="shared" si="2"/>
        <v>20</v>
      </c>
      <c r="I19" s="774">
        <f>E19*10%</f>
        <v>20</v>
      </c>
      <c r="J19" s="156"/>
      <c r="K19" s="157"/>
      <c r="L19" s="157">
        <f t="shared" si="3"/>
        <v>630</v>
      </c>
      <c r="M19" s="775">
        <f t="shared" si="4"/>
        <v>180</v>
      </c>
      <c r="N19" s="775">
        <f t="shared" si="0"/>
        <v>225</v>
      </c>
      <c r="O19" s="775">
        <f t="shared" si="0"/>
        <v>225</v>
      </c>
      <c r="P19" s="168" t="s">
        <v>875</v>
      </c>
    </row>
    <row r="20" spans="1:16" s="87" customFormat="1" ht="13" x14ac:dyDescent="0.35">
      <c r="A20" s="774">
        <v>6</v>
      </c>
      <c r="B20" s="156" t="s">
        <v>838</v>
      </c>
      <c r="C20" s="211" t="s">
        <v>852</v>
      </c>
      <c r="D20" s="211">
        <f t="shared" si="1"/>
        <v>650</v>
      </c>
      <c r="E20" s="211">
        <v>200</v>
      </c>
      <c r="F20" s="211">
        <v>235</v>
      </c>
      <c r="G20" s="211">
        <v>215</v>
      </c>
      <c r="H20" s="211">
        <f t="shared" si="2"/>
        <v>30</v>
      </c>
      <c r="I20" s="774">
        <f>E20*15%</f>
        <v>30</v>
      </c>
      <c r="J20" s="156"/>
      <c r="K20" s="157"/>
      <c r="L20" s="157">
        <f t="shared" si="3"/>
        <v>620</v>
      </c>
      <c r="M20" s="775">
        <f t="shared" si="4"/>
        <v>170</v>
      </c>
      <c r="N20" s="775">
        <f t="shared" si="0"/>
        <v>235</v>
      </c>
      <c r="O20" s="775">
        <f t="shared" si="0"/>
        <v>215</v>
      </c>
      <c r="P20" s="168" t="s">
        <v>854</v>
      </c>
    </row>
    <row r="21" spans="1:16" s="87" customFormat="1" ht="13" x14ac:dyDescent="0.35">
      <c r="A21" s="774">
        <v>7</v>
      </c>
      <c r="B21" s="156" t="s">
        <v>839</v>
      </c>
      <c r="C21" s="211" t="s">
        <v>852</v>
      </c>
      <c r="D21" s="211">
        <f t="shared" si="1"/>
        <v>650</v>
      </c>
      <c r="E21" s="211">
        <v>200</v>
      </c>
      <c r="F21" s="211">
        <v>295</v>
      </c>
      <c r="G21" s="211">
        <v>155</v>
      </c>
      <c r="H21" s="211">
        <f t="shared" si="2"/>
        <v>0</v>
      </c>
      <c r="I21" s="774"/>
      <c r="J21" s="156"/>
      <c r="K21" s="157"/>
      <c r="L21" s="157">
        <f t="shared" si="3"/>
        <v>650</v>
      </c>
      <c r="M21" s="775">
        <f t="shared" si="4"/>
        <v>200</v>
      </c>
      <c r="N21" s="775">
        <f t="shared" si="0"/>
        <v>295</v>
      </c>
      <c r="O21" s="775">
        <f t="shared" si="0"/>
        <v>155</v>
      </c>
      <c r="P21" s="168"/>
    </row>
    <row r="22" spans="1:16" s="87" customFormat="1" ht="13" x14ac:dyDescent="0.35">
      <c r="A22" s="774">
        <v>8</v>
      </c>
      <c r="B22" s="156" t="s">
        <v>840</v>
      </c>
      <c r="C22" s="211" t="s">
        <v>852</v>
      </c>
      <c r="D22" s="211">
        <f t="shared" si="1"/>
        <v>650</v>
      </c>
      <c r="E22" s="211">
        <v>200</v>
      </c>
      <c r="F22" s="211">
        <v>295</v>
      </c>
      <c r="G22" s="211">
        <v>155</v>
      </c>
      <c r="H22" s="211">
        <f t="shared" si="2"/>
        <v>0</v>
      </c>
      <c r="I22" s="774"/>
      <c r="J22" s="156"/>
      <c r="K22" s="157"/>
      <c r="L22" s="157">
        <f t="shared" si="3"/>
        <v>650</v>
      </c>
      <c r="M22" s="775">
        <f t="shared" si="4"/>
        <v>200</v>
      </c>
      <c r="N22" s="775">
        <f t="shared" si="0"/>
        <v>295</v>
      </c>
      <c r="O22" s="775">
        <f t="shared" si="0"/>
        <v>155</v>
      </c>
      <c r="P22" s="168"/>
    </row>
    <row r="23" spans="1:16" s="87" customFormat="1" ht="13" x14ac:dyDescent="0.35">
      <c r="A23" s="774">
        <v>9</v>
      </c>
      <c r="B23" s="156" t="s">
        <v>841</v>
      </c>
      <c r="C23" s="211" t="s">
        <v>851</v>
      </c>
      <c r="D23" s="211">
        <f t="shared" si="1"/>
        <v>650</v>
      </c>
      <c r="E23" s="211">
        <v>200</v>
      </c>
      <c r="F23" s="211">
        <v>225</v>
      </c>
      <c r="G23" s="211">
        <v>225</v>
      </c>
      <c r="H23" s="211">
        <f t="shared" si="2"/>
        <v>0</v>
      </c>
      <c r="I23" s="774"/>
      <c r="J23" s="156"/>
      <c r="K23" s="157"/>
      <c r="L23" s="157">
        <f t="shared" si="3"/>
        <v>650</v>
      </c>
      <c r="M23" s="775">
        <f t="shared" si="4"/>
        <v>200</v>
      </c>
      <c r="N23" s="775">
        <f t="shared" si="0"/>
        <v>225</v>
      </c>
      <c r="O23" s="775">
        <f t="shared" si="0"/>
        <v>225</v>
      </c>
      <c r="P23" s="168"/>
    </row>
    <row r="24" spans="1:16" s="87" customFormat="1" ht="13" x14ac:dyDescent="0.35">
      <c r="A24" s="774">
        <v>10</v>
      </c>
      <c r="B24" s="156" t="s">
        <v>842</v>
      </c>
      <c r="C24" s="211" t="s">
        <v>852</v>
      </c>
      <c r="D24" s="211">
        <f t="shared" si="1"/>
        <v>650</v>
      </c>
      <c r="E24" s="211">
        <v>200</v>
      </c>
      <c r="F24" s="211">
        <v>350</v>
      </c>
      <c r="G24" s="211">
        <v>100</v>
      </c>
      <c r="H24" s="211">
        <f t="shared" si="2"/>
        <v>50</v>
      </c>
      <c r="I24" s="794">
        <f>E24*25%</f>
        <v>50</v>
      </c>
      <c r="J24" s="156"/>
      <c r="K24" s="157"/>
      <c r="L24" s="157">
        <f t="shared" si="3"/>
        <v>600</v>
      </c>
      <c r="M24" s="775">
        <f t="shared" si="4"/>
        <v>150</v>
      </c>
      <c r="N24" s="775">
        <f t="shared" si="0"/>
        <v>350</v>
      </c>
      <c r="O24" s="775">
        <f t="shared" si="0"/>
        <v>100</v>
      </c>
      <c r="P24" s="168" t="s">
        <v>855</v>
      </c>
    </row>
    <row r="25" spans="1:16" s="87" customFormat="1" ht="13" x14ac:dyDescent="0.35">
      <c r="A25" s="774">
        <v>11</v>
      </c>
      <c r="B25" s="156" t="s">
        <v>843</v>
      </c>
      <c r="C25" s="211" t="s">
        <v>852</v>
      </c>
      <c r="D25" s="211">
        <f t="shared" si="1"/>
        <v>650</v>
      </c>
      <c r="E25" s="211">
        <v>200</v>
      </c>
      <c r="F25" s="211">
        <v>295</v>
      </c>
      <c r="G25" s="211">
        <v>155</v>
      </c>
      <c r="H25" s="211">
        <f t="shared" si="2"/>
        <v>0</v>
      </c>
      <c r="I25" s="774"/>
      <c r="J25" s="156"/>
      <c r="K25" s="157"/>
      <c r="L25" s="157">
        <f t="shared" si="3"/>
        <v>650</v>
      </c>
      <c r="M25" s="775">
        <f t="shared" si="4"/>
        <v>200</v>
      </c>
      <c r="N25" s="775">
        <f t="shared" si="0"/>
        <v>295</v>
      </c>
      <c r="O25" s="775">
        <f t="shared" si="0"/>
        <v>155</v>
      </c>
      <c r="P25" s="168"/>
    </row>
    <row r="26" spans="1:16" s="87" customFormat="1" ht="13" x14ac:dyDescent="0.35">
      <c r="A26" s="774">
        <v>12</v>
      </c>
      <c r="B26" s="156" t="s">
        <v>844</v>
      </c>
      <c r="C26" s="211" t="s">
        <v>852</v>
      </c>
      <c r="D26" s="211">
        <f t="shared" si="1"/>
        <v>650</v>
      </c>
      <c r="E26" s="211">
        <v>200</v>
      </c>
      <c r="F26" s="211">
        <v>235</v>
      </c>
      <c r="G26" s="211">
        <v>215</v>
      </c>
      <c r="H26" s="211">
        <f t="shared" si="2"/>
        <v>0</v>
      </c>
      <c r="I26" s="774"/>
      <c r="J26" s="156"/>
      <c r="K26" s="157"/>
      <c r="L26" s="157">
        <f t="shared" si="3"/>
        <v>650</v>
      </c>
      <c r="M26" s="775">
        <f t="shared" si="4"/>
        <v>200</v>
      </c>
      <c r="N26" s="775">
        <f t="shared" si="0"/>
        <v>235</v>
      </c>
      <c r="O26" s="775">
        <f t="shared" si="0"/>
        <v>215</v>
      </c>
      <c r="P26" s="168"/>
    </row>
    <row r="27" spans="1:16" s="87" customFormat="1" ht="13" x14ac:dyDescent="0.35">
      <c r="A27" s="774">
        <v>13</v>
      </c>
      <c r="B27" s="156" t="s">
        <v>845</v>
      </c>
      <c r="C27" s="211" t="s">
        <v>852</v>
      </c>
      <c r="D27" s="211">
        <f t="shared" si="1"/>
        <v>650</v>
      </c>
      <c r="E27" s="211">
        <v>200</v>
      </c>
      <c r="F27" s="211">
        <v>295</v>
      </c>
      <c r="G27" s="211">
        <v>155</v>
      </c>
      <c r="H27" s="211">
        <f t="shared" si="2"/>
        <v>50</v>
      </c>
      <c r="I27" s="794">
        <f>E27*25%</f>
        <v>50</v>
      </c>
      <c r="J27" s="156"/>
      <c r="K27" s="157"/>
      <c r="L27" s="157">
        <f t="shared" si="3"/>
        <v>600</v>
      </c>
      <c r="M27" s="775">
        <f t="shared" si="4"/>
        <v>150</v>
      </c>
      <c r="N27" s="775">
        <f t="shared" si="0"/>
        <v>295</v>
      </c>
      <c r="O27" s="775">
        <f t="shared" si="0"/>
        <v>155</v>
      </c>
      <c r="P27" s="168" t="s">
        <v>855</v>
      </c>
    </row>
    <row r="28" spans="1:16" s="87" customFormat="1" ht="13" x14ac:dyDescent="0.35">
      <c r="A28" s="774">
        <v>14</v>
      </c>
      <c r="B28" s="156" t="s">
        <v>846</v>
      </c>
      <c r="C28" s="211" t="s">
        <v>851</v>
      </c>
      <c r="D28" s="211">
        <f t="shared" si="1"/>
        <v>650</v>
      </c>
      <c r="E28" s="211">
        <v>200</v>
      </c>
      <c r="F28" s="211">
        <v>225</v>
      </c>
      <c r="G28" s="211">
        <v>225</v>
      </c>
      <c r="H28" s="211">
        <f t="shared" si="2"/>
        <v>0</v>
      </c>
      <c r="I28" s="774"/>
      <c r="J28" s="156"/>
      <c r="K28" s="157"/>
      <c r="L28" s="157">
        <f t="shared" si="3"/>
        <v>650</v>
      </c>
      <c r="M28" s="775">
        <f t="shared" si="4"/>
        <v>200</v>
      </c>
      <c r="N28" s="775">
        <f t="shared" si="0"/>
        <v>225</v>
      </c>
      <c r="O28" s="775">
        <f t="shared" si="0"/>
        <v>225</v>
      </c>
      <c r="P28" s="168"/>
    </row>
    <row r="29" spans="1:16" s="87" customFormat="1" ht="13" x14ac:dyDescent="0.35">
      <c r="A29" s="774">
        <v>15</v>
      </c>
      <c r="B29" s="156" t="s">
        <v>847</v>
      </c>
      <c r="C29" s="211" t="s">
        <v>851</v>
      </c>
      <c r="D29" s="211">
        <f t="shared" si="1"/>
        <v>650</v>
      </c>
      <c r="E29" s="211">
        <v>200</v>
      </c>
      <c r="F29" s="211">
        <v>235</v>
      </c>
      <c r="G29" s="211">
        <v>215</v>
      </c>
      <c r="H29" s="211">
        <f t="shared" si="2"/>
        <v>30</v>
      </c>
      <c r="I29" s="774">
        <f>E29*15%</f>
        <v>30</v>
      </c>
      <c r="J29" s="156"/>
      <c r="K29" s="157"/>
      <c r="L29" s="157">
        <f t="shared" si="3"/>
        <v>620</v>
      </c>
      <c r="M29" s="775">
        <f t="shared" si="4"/>
        <v>170</v>
      </c>
      <c r="N29" s="775">
        <f t="shared" si="0"/>
        <v>235</v>
      </c>
      <c r="O29" s="775">
        <f t="shared" si="0"/>
        <v>215</v>
      </c>
      <c r="P29" s="168" t="s">
        <v>856</v>
      </c>
    </row>
    <row r="30" spans="1:16" s="87" customFormat="1" ht="13" x14ac:dyDescent="0.35">
      <c r="A30" s="774">
        <v>16</v>
      </c>
      <c r="B30" s="156" t="s">
        <v>848</v>
      </c>
      <c r="C30" s="211" t="s">
        <v>851</v>
      </c>
      <c r="D30" s="211">
        <f t="shared" si="1"/>
        <v>650</v>
      </c>
      <c r="E30" s="211">
        <v>200</v>
      </c>
      <c r="F30" s="211">
        <v>235</v>
      </c>
      <c r="G30" s="211">
        <v>215</v>
      </c>
      <c r="H30" s="211">
        <f t="shared" si="2"/>
        <v>0</v>
      </c>
      <c r="I30" s="774"/>
      <c r="J30" s="156"/>
      <c r="K30" s="157"/>
      <c r="L30" s="157">
        <f t="shared" si="3"/>
        <v>650</v>
      </c>
      <c r="M30" s="775">
        <f t="shared" si="4"/>
        <v>200</v>
      </c>
      <c r="N30" s="775">
        <f t="shared" si="0"/>
        <v>235</v>
      </c>
      <c r="O30" s="775">
        <f t="shared" si="0"/>
        <v>215</v>
      </c>
      <c r="P30" s="168"/>
    </row>
    <row r="31" spans="1:16" s="87" customFormat="1" ht="13" x14ac:dyDescent="0.35">
      <c r="A31" s="774">
        <v>17</v>
      </c>
      <c r="B31" s="156" t="s">
        <v>849</v>
      </c>
      <c r="C31" s="211" t="s">
        <v>851</v>
      </c>
      <c r="D31" s="211">
        <f t="shared" si="1"/>
        <v>650</v>
      </c>
      <c r="E31" s="211">
        <v>200</v>
      </c>
      <c r="F31" s="211">
        <v>225</v>
      </c>
      <c r="G31" s="211">
        <v>225</v>
      </c>
      <c r="H31" s="211">
        <f t="shared" si="2"/>
        <v>20</v>
      </c>
      <c r="I31" s="774">
        <f>E31*10%</f>
        <v>20</v>
      </c>
      <c r="J31" s="156"/>
      <c r="K31" s="157"/>
      <c r="L31" s="157">
        <f t="shared" si="3"/>
        <v>630</v>
      </c>
      <c r="M31" s="775">
        <f t="shared" si="4"/>
        <v>180</v>
      </c>
      <c r="N31" s="775">
        <f t="shared" si="4"/>
        <v>225</v>
      </c>
      <c r="O31" s="775">
        <f t="shared" si="4"/>
        <v>225</v>
      </c>
      <c r="P31" s="168" t="s">
        <v>875</v>
      </c>
    </row>
    <row r="32" spans="1:16" s="87" customFormat="1" ht="13" x14ac:dyDescent="0.35">
      <c r="A32" s="155"/>
      <c r="B32" s="156"/>
      <c r="C32" s="157"/>
      <c r="D32" s="157"/>
      <c r="E32" s="157"/>
      <c r="F32" s="157"/>
      <c r="G32" s="157"/>
      <c r="H32" s="157"/>
      <c r="I32" s="155"/>
      <c r="J32" s="156"/>
      <c r="K32" s="157"/>
      <c r="L32" s="157"/>
      <c r="M32" s="167"/>
      <c r="N32" s="167"/>
      <c r="O32" s="167"/>
      <c r="P32" s="168"/>
    </row>
    <row r="33" spans="1:17" s="87" customFormat="1" ht="13" x14ac:dyDescent="0.35">
      <c r="A33" s="155"/>
      <c r="B33" s="156"/>
      <c r="C33" s="157"/>
      <c r="D33" s="157"/>
      <c r="E33" s="157"/>
      <c r="F33" s="157"/>
      <c r="G33" s="157"/>
      <c r="H33" s="157"/>
      <c r="I33" s="155"/>
      <c r="J33" s="156"/>
      <c r="K33" s="157"/>
      <c r="L33" s="157"/>
      <c r="M33" s="167"/>
      <c r="N33" s="167"/>
      <c r="O33" s="167"/>
      <c r="P33" s="168"/>
    </row>
    <row r="34" spans="1:17" s="87" customFormat="1" ht="13" x14ac:dyDescent="0.35">
      <c r="A34" s="164"/>
      <c r="B34" s="165"/>
      <c r="C34" s="166"/>
      <c r="D34" s="167"/>
      <c r="E34" s="167"/>
      <c r="F34" s="167"/>
      <c r="G34" s="167"/>
      <c r="H34" s="167"/>
      <c r="I34" s="167"/>
      <c r="J34" s="167"/>
      <c r="K34" s="167"/>
      <c r="L34" s="167"/>
      <c r="M34" s="167"/>
      <c r="N34" s="167"/>
      <c r="O34" s="167"/>
      <c r="P34" s="168"/>
    </row>
    <row r="35" spans="1:17" s="87" customFormat="1" ht="13" x14ac:dyDescent="0.35">
      <c r="A35" s="164"/>
      <c r="B35" s="165"/>
      <c r="C35" s="166"/>
      <c r="D35" s="167"/>
      <c r="E35" s="167"/>
      <c r="F35" s="167"/>
      <c r="G35" s="167"/>
      <c r="H35" s="167"/>
      <c r="I35" s="167"/>
      <c r="J35" s="167"/>
      <c r="K35" s="167"/>
      <c r="L35" s="167"/>
      <c r="M35" s="167"/>
      <c r="N35" s="167"/>
      <c r="O35" s="167"/>
      <c r="P35" s="168"/>
    </row>
    <row r="36" spans="1:17" s="87" customFormat="1" ht="13" x14ac:dyDescent="0.35">
      <c r="A36" s="164"/>
      <c r="B36" s="165"/>
      <c r="C36" s="166"/>
      <c r="D36" s="167"/>
      <c r="E36" s="167"/>
      <c r="F36" s="167"/>
      <c r="G36" s="167"/>
      <c r="H36" s="167"/>
      <c r="I36" s="167"/>
      <c r="J36" s="167"/>
      <c r="K36" s="167"/>
      <c r="L36" s="167"/>
      <c r="M36" s="167"/>
      <c r="N36" s="167"/>
      <c r="O36" s="167"/>
      <c r="P36" s="168"/>
    </row>
    <row r="37" spans="1:17" s="87" customFormat="1" ht="13" x14ac:dyDescent="0.35">
      <c r="A37" s="164"/>
      <c r="B37" s="165"/>
      <c r="C37" s="166"/>
      <c r="D37" s="167"/>
      <c r="E37" s="167"/>
      <c r="F37" s="167"/>
      <c r="G37" s="167"/>
      <c r="H37" s="167"/>
      <c r="I37" s="167"/>
      <c r="J37" s="167"/>
      <c r="K37" s="167"/>
      <c r="L37" s="167"/>
      <c r="M37" s="167"/>
      <c r="N37" s="167"/>
      <c r="O37" s="167"/>
      <c r="P37" s="168"/>
    </row>
    <row r="38" spans="1:17" s="87" customFormat="1" ht="13" x14ac:dyDescent="0.35">
      <c r="A38" s="164"/>
      <c r="B38" s="165" t="s">
        <v>222</v>
      </c>
      <c r="C38" s="166"/>
      <c r="D38" s="167"/>
      <c r="E38" s="167"/>
      <c r="F38" s="167"/>
      <c r="G38" s="167"/>
      <c r="H38" s="167"/>
      <c r="I38" s="167"/>
      <c r="J38" s="167"/>
      <c r="K38" s="167"/>
      <c r="L38" s="167"/>
      <c r="M38" s="167"/>
      <c r="N38" s="167"/>
      <c r="O38" s="167"/>
      <c r="P38" s="168"/>
    </row>
    <row r="39" spans="1:17" s="87" customFormat="1" ht="13" x14ac:dyDescent="0.35">
      <c r="A39" s="159" t="s">
        <v>41</v>
      </c>
      <c r="B39" s="160" t="s">
        <v>619</v>
      </c>
      <c r="C39" s="166"/>
      <c r="D39" s="162">
        <f>SUM(E39:G39)</f>
        <v>0</v>
      </c>
      <c r="E39" s="167"/>
      <c r="F39" s="167"/>
      <c r="G39" s="167"/>
      <c r="H39" s="162">
        <f>SUM(I39:K39)</f>
        <v>0</v>
      </c>
      <c r="I39" s="167"/>
      <c r="J39" s="167"/>
      <c r="K39" s="167"/>
      <c r="L39" s="162">
        <f>SUM(M39:O39)</f>
        <v>0</v>
      </c>
      <c r="M39" s="167"/>
      <c r="N39" s="167"/>
      <c r="O39" s="167"/>
      <c r="P39" s="168"/>
    </row>
    <row r="40" spans="1:17" s="87" customFormat="1" ht="13" x14ac:dyDescent="0.35">
      <c r="A40" s="164"/>
      <c r="B40" s="165" t="s">
        <v>222</v>
      </c>
      <c r="C40" s="166"/>
      <c r="D40" s="167"/>
      <c r="E40" s="167"/>
      <c r="F40" s="167"/>
      <c r="G40" s="167"/>
      <c r="H40" s="167"/>
      <c r="I40" s="167"/>
      <c r="J40" s="167"/>
      <c r="K40" s="167"/>
      <c r="L40" s="167"/>
      <c r="M40" s="167"/>
      <c r="N40" s="167"/>
      <c r="O40" s="167"/>
      <c r="P40" s="168"/>
    </row>
    <row r="41" spans="1:17" s="87" customFormat="1" ht="13" x14ac:dyDescent="0.35">
      <c r="A41" s="164"/>
      <c r="B41" s="165" t="s">
        <v>222</v>
      </c>
      <c r="C41" s="166"/>
      <c r="D41" s="167"/>
      <c r="E41" s="167"/>
      <c r="F41" s="167"/>
      <c r="G41" s="167"/>
      <c r="H41" s="167"/>
      <c r="I41" s="167"/>
      <c r="J41" s="167"/>
      <c r="K41" s="167"/>
      <c r="L41" s="167"/>
      <c r="M41" s="167"/>
      <c r="N41" s="167"/>
      <c r="O41" s="167"/>
      <c r="P41" s="168"/>
    </row>
    <row r="42" spans="1:17" s="87" customFormat="1" ht="13" x14ac:dyDescent="0.35">
      <c r="A42" s="164"/>
      <c r="B42" s="165" t="s">
        <v>222</v>
      </c>
      <c r="C42" s="166"/>
      <c r="D42" s="167"/>
      <c r="E42" s="167"/>
      <c r="F42" s="167"/>
      <c r="G42" s="167"/>
      <c r="H42" s="167"/>
      <c r="I42" s="167"/>
      <c r="J42" s="167"/>
      <c r="K42" s="167"/>
      <c r="L42" s="167"/>
      <c r="M42" s="167"/>
      <c r="N42" s="167"/>
      <c r="O42" s="167"/>
      <c r="P42" s="168"/>
    </row>
    <row r="43" spans="1:17" s="87" customFormat="1" ht="38.25" customHeight="1" thickBot="1" x14ac:dyDescent="0.4">
      <c r="A43" s="862" t="s">
        <v>223</v>
      </c>
      <c r="B43" s="863"/>
      <c r="C43" s="626"/>
      <c r="D43" s="627">
        <f>D14+D39</f>
        <v>0</v>
      </c>
      <c r="E43" s="627">
        <f t="shared" ref="E43:L43" si="5">E14+E39</f>
        <v>0</v>
      </c>
      <c r="F43" s="627">
        <f t="shared" si="5"/>
        <v>0</v>
      </c>
      <c r="G43" s="627">
        <f t="shared" si="5"/>
        <v>0</v>
      </c>
      <c r="H43" s="627">
        <f t="shared" si="5"/>
        <v>0</v>
      </c>
      <c r="I43" s="627">
        <f t="shared" si="5"/>
        <v>0</v>
      </c>
      <c r="J43" s="627">
        <f t="shared" si="5"/>
        <v>0</v>
      </c>
      <c r="K43" s="627">
        <f t="shared" si="5"/>
        <v>0</v>
      </c>
      <c r="L43" s="627">
        <f t="shared" si="5"/>
        <v>0</v>
      </c>
      <c r="M43" s="627"/>
      <c r="N43" s="627"/>
      <c r="O43" s="627"/>
      <c r="P43" s="628"/>
      <c r="Q43" s="629" t="s">
        <v>649</v>
      </c>
    </row>
    <row r="44" spans="1:17" ht="15" thickTop="1" x14ac:dyDescent="0.35">
      <c r="A44" s="29"/>
      <c r="B44" s="1"/>
      <c r="C44" s="1"/>
      <c r="D44" s="826" t="s">
        <v>213</v>
      </c>
      <c r="E44" s="826"/>
      <c r="F44" s="826"/>
      <c r="G44" s="826"/>
      <c r="H44" s="826"/>
      <c r="I44" s="826"/>
      <c r="J44" s="826"/>
      <c r="K44" s="826"/>
      <c r="L44" s="826"/>
      <c r="M44" s="826"/>
      <c r="N44" s="826"/>
      <c r="O44" s="826"/>
      <c r="P44" s="826"/>
    </row>
    <row r="45" spans="1:17" x14ac:dyDescent="0.35">
      <c r="A45" s="29"/>
      <c r="B45" s="59"/>
      <c r="C45" s="1"/>
      <c r="E45" s="171"/>
      <c r="F45" s="171"/>
      <c r="G45" s="171"/>
      <c r="H45" s="171"/>
      <c r="I45" s="171"/>
      <c r="J45" s="171"/>
      <c r="K45" s="171"/>
      <c r="L45" s="171"/>
      <c r="M45" s="825" t="s">
        <v>214</v>
      </c>
      <c r="N45" s="825"/>
      <c r="O45" s="825"/>
      <c r="P45" s="825"/>
    </row>
    <row r="46" spans="1:17" ht="81.75" customHeight="1" x14ac:dyDescent="0.4">
      <c r="A46" s="864" t="s">
        <v>221</v>
      </c>
      <c r="B46" s="864"/>
      <c r="C46" s="864"/>
      <c r="D46" s="864"/>
      <c r="E46" s="864"/>
      <c r="F46" s="864"/>
      <c r="G46" s="864"/>
      <c r="H46" s="864"/>
      <c r="I46" s="864"/>
      <c r="J46" s="864"/>
      <c r="K46" s="864"/>
      <c r="L46" s="864"/>
      <c r="M46" s="2"/>
      <c r="N46" s="2"/>
      <c r="O46" s="2"/>
      <c r="P46" s="2"/>
    </row>
    <row r="47" spans="1:17" x14ac:dyDescent="0.35">
      <c r="A47" s="29"/>
      <c r="B47" s="138"/>
      <c r="C47" s="1"/>
      <c r="D47" s="825"/>
      <c r="E47" s="825"/>
      <c r="F47" s="825"/>
      <c r="G47" s="825"/>
      <c r="H47" s="825"/>
      <c r="I47" s="825"/>
      <c r="J47" s="825"/>
      <c r="K47" s="825"/>
      <c r="L47" s="825"/>
      <c r="M47" s="825"/>
      <c r="N47" s="825"/>
      <c r="O47" s="825"/>
      <c r="P47" s="825"/>
    </row>
    <row r="48" spans="1:17" x14ac:dyDescent="0.35">
      <c r="A48" s="29"/>
      <c r="B48" s="1"/>
      <c r="C48" s="1"/>
      <c r="D48" s="859"/>
      <c r="E48" s="859"/>
      <c r="F48" s="859"/>
      <c r="G48" s="859"/>
      <c r="H48" s="859"/>
      <c r="I48" s="859"/>
      <c r="J48" s="859"/>
      <c r="K48" s="859"/>
      <c r="L48" s="859"/>
      <c r="M48" s="859"/>
      <c r="N48" s="859"/>
      <c r="O48" s="859"/>
      <c r="P48" s="859"/>
    </row>
  </sheetData>
  <mergeCells count="19">
    <mergeCell ref="G4:P4"/>
    <mergeCell ref="A1:B1"/>
    <mergeCell ref="D1:O1"/>
    <mergeCell ref="A2:B2"/>
    <mergeCell ref="D2:O2"/>
    <mergeCell ref="A3:P3"/>
    <mergeCell ref="D48:P48"/>
    <mergeCell ref="P5:P6"/>
    <mergeCell ref="A43:B43"/>
    <mergeCell ref="D44:P44"/>
    <mergeCell ref="M45:P45"/>
    <mergeCell ref="A46:L46"/>
    <mergeCell ref="D47:P47"/>
    <mergeCell ref="A5:A6"/>
    <mergeCell ref="B5:B6"/>
    <mergeCell ref="C5:C6"/>
    <mergeCell ref="D5:G5"/>
    <mergeCell ref="H5:K5"/>
    <mergeCell ref="L5:O5"/>
  </mergeCells>
  <pageMargins left="0.17" right="0.17" top="0.75" bottom="0.36" header="0.3" footer="0.3"/>
  <pageSetup paperSize="9" scale="9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F9D89-4B88-45B9-A2C3-2C278D9FADD7}">
  <sheetPr>
    <tabColor rgb="FFFF0000"/>
    <pageSetUpPr fitToPage="1"/>
  </sheetPr>
  <dimension ref="A1:P58"/>
  <sheetViews>
    <sheetView workbookViewId="0">
      <selection activeCell="B8" sqref="B8"/>
    </sheetView>
  </sheetViews>
  <sheetFormatPr defaultRowHeight="14.5" x14ac:dyDescent="0.35"/>
  <cols>
    <col min="1" max="1" width="4.90625" style="56" customWidth="1"/>
    <col min="2" max="2" width="31.08984375" style="57" customWidth="1"/>
    <col min="3" max="3" width="7.6328125" style="57" customWidth="1"/>
    <col min="4" max="4" width="5" customWidth="1"/>
    <col min="5" max="5" width="7.26953125" customWidth="1"/>
    <col min="6" max="6" width="5.6328125" customWidth="1"/>
    <col min="7" max="7" width="8.26953125" customWidth="1"/>
    <col min="8" max="8" width="5" customWidth="1"/>
    <col min="9" max="9" width="7.26953125" customWidth="1"/>
    <col min="10" max="10" width="6.6328125" customWidth="1"/>
    <col min="11" max="11" width="10.90625" customWidth="1"/>
    <col min="12" max="12" width="5" customWidth="1"/>
    <col min="13" max="13" width="7.36328125" customWidth="1"/>
    <col min="14" max="14" width="7.6328125" customWidth="1"/>
    <col min="16" max="16" width="16.36328125" customWidth="1"/>
  </cols>
  <sheetData>
    <row r="1" spans="1:16" ht="15.5" x14ac:dyDescent="0.35">
      <c r="A1" s="871" t="s">
        <v>0</v>
      </c>
      <c r="B1" s="871"/>
      <c r="C1" s="1"/>
      <c r="D1" s="844"/>
      <c r="E1" s="844"/>
      <c r="F1" s="844"/>
      <c r="G1" s="844"/>
      <c r="H1" s="844"/>
      <c r="I1" s="844"/>
      <c r="J1" s="844"/>
      <c r="K1" s="844"/>
      <c r="L1" s="844"/>
      <c r="M1" s="844"/>
      <c r="N1" s="844"/>
      <c r="O1" s="844"/>
      <c r="P1" s="143" t="s">
        <v>194</v>
      </c>
    </row>
    <row r="2" spans="1:16" ht="15.5" x14ac:dyDescent="0.35">
      <c r="A2" s="825" t="s">
        <v>195</v>
      </c>
      <c r="B2" s="825"/>
      <c r="C2" s="1"/>
      <c r="D2" s="872"/>
      <c r="E2" s="872"/>
      <c r="F2" s="872"/>
      <c r="G2" s="872"/>
      <c r="H2" s="872"/>
      <c r="I2" s="872"/>
      <c r="J2" s="872"/>
      <c r="K2" s="872"/>
      <c r="L2" s="872"/>
      <c r="M2" s="872"/>
      <c r="N2" s="872"/>
      <c r="O2" s="872"/>
      <c r="P2" s="2"/>
    </row>
    <row r="3" spans="1:16" ht="25" customHeight="1" x14ac:dyDescent="0.35">
      <c r="A3" s="817" t="s">
        <v>196</v>
      </c>
      <c r="B3" s="817"/>
      <c r="C3" s="817"/>
      <c r="D3" s="817"/>
      <c r="E3" s="817"/>
      <c r="F3" s="817"/>
      <c r="G3" s="817"/>
      <c r="H3" s="817"/>
      <c r="I3" s="817"/>
      <c r="J3" s="817"/>
      <c r="K3" s="817"/>
      <c r="L3" s="817"/>
      <c r="M3" s="817"/>
      <c r="N3" s="817"/>
      <c r="O3" s="817"/>
      <c r="P3" s="817"/>
    </row>
    <row r="4" spans="1:16" ht="15" thickBot="1" x14ac:dyDescent="0.4">
      <c r="A4" s="3"/>
      <c r="B4" s="3"/>
      <c r="C4" s="3"/>
      <c r="D4" s="3"/>
      <c r="E4" s="3"/>
      <c r="F4" s="3"/>
      <c r="G4" s="870" t="s">
        <v>197</v>
      </c>
      <c r="H4" s="870"/>
      <c r="I4" s="870"/>
      <c r="J4" s="870"/>
      <c r="K4" s="870"/>
      <c r="L4" s="870"/>
      <c r="M4" s="870"/>
      <c r="N4" s="870"/>
      <c r="O4" s="870"/>
      <c r="P4" s="870"/>
    </row>
    <row r="5" spans="1:16" ht="29.25" customHeight="1" thickTop="1" x14ac:dyDescent="0.35">
      <c r="A5" s="865" t="s">
        <v>5</v>
      </c>
      <c r="B5" s="867" t="s">
        <v>198</v>
      </c>
      <c r="C5" s="867" t="s">
        <v>148</v>
      </c>
      <c r="D5" s="869" t="s">
        <v>199</v>
      </c>
      <c r="E5" s="869"/>
      <c r="F5" s="869"/>
      <c r="G5" s="869"/>
      <c r="H5" s="869" t="s">
        <v>200</v>
      </c>
      <c r="I5" s="869"/>
      <c r="J5" s="869"/>
      <c r="K5" s="869"/>
      <c r="L5" s="869" t="s">
        <v>201</v>
      </c>
      <c r="M5" s="869"/>
      <c r="N5" s="869"/>
      <c r="O5" s="869"/>
      <c r="P5" s="860" t="s">
        <v>16</v>
      </c>
    </row>
    <row r="6" spans="1:16" ht="39" x14ac:dyDescent="0.35">
      <c r="A6" s="866"/>
      <c r="B6" s="868"/>
      <c r="C6" s="868"/>
      <c r="D6" s="535" t="s">
        <v>202</v>
      </c>
      <c r="E6" s="535" t="s">
        <v>203</v>
      </c>
      <c r="F6" s="535" t="s">
        <v>204</v>
      </c>
      <c r="G6" s="535" t="s">
        <v>205</v>
      </c>
      <c r="H6" s="535" t="s">
        <v>202</v>
      </c>
      <c r="I6" s="535" t="s">
        <v>203</v>
      </c>
      <c r="J6" s="535" t="s">
        <v>204</v>
      </c>
      <c r="K6" s="535" t="s">
        <v>205</v>
      </c>
      <c r="L6" s="535" t="s">
        <v>202</v>
      </c>
      <c r="M6" s="535" t="s">
        <v>203</v>
      </c>
      <c r="N6" s="535" t="s">
        <v>204</v>
      </c>
      <c r="O6" s="535" t="s">
        <v>205</v>
      </c>
      <c r="P6" s="861"/>
    </row>
    <row r="7" spans="1:16" x14ac:dyDescent="0.35">
      <c r="A7" s="145" t="s">
        <v>88</v>
      </c>
      <c r="B7" s="146" t="s">
        <v>89</v>
      </c>
      <c r="C7" s="147" t="s">
        <v>90</v>
      </c>
      <c r="D7" s="147" t="s">
        <v>91</v>
      </c>
      <c r="E7" s="147" t="s">
        <v>92</v>
      </c>
      <c r="F7" s="147" t="s">
        <v>152</v>
      </c>
      <c r="G7" s="147" t="s">
        <v>93</v>
      </c>
      <c r="H7" s="147" t="s">
        <v>153</v>
      </c>
      <c r="I7" s="147" t="s">
        <v>206</v>
      </c>
      <c r="J7" s="147" t="s">
        <v>94</v>
      </c>
      <c r="K7" s="148" t="s">
        <v>95</v>
      </c>
      <c r="L7" s="147" t="s">
        <v>96</v>
      </c>
      <c r="M7" s="147" t="s">
        <v>97</v>
      </c>
      <c r="N7" s="147" t="s">
        <v>98</v>
      </c>
      <c r="O7" s="147" t="s">
        <v>99</v>
      </c>
      <c r="P7" s="149" t="s">
        <v>100</v>
      </c>
    </row>
    <row r="8" spans="1:16" s="154" customFormat="1" ht="26" x14ac:dyDescent="0.35">
      <c r="A8" s="633"/>
      <c r="B8" s="634" t="s">
        <v>207</v>
      </c>
      <c r="C8" s="633"/>
      <c r="D8" s="633"/>
      <c r="E8" s="633"/>
      <c r="F8" s="633"/>
      <c r="G8" s="633"/>
      <c r="H8" s="633"/>
      <c r="I8" s="633"/>
      <c r="J8" s="633"/>
      <c r="K8" s="633"/>
      <c r="L8" s="633"/>
      <c r="M8" s="633"/>
      <c r="N8" s="633"/>
      <c r="O8" s="633"/>
      <c r="P8" s="633"/>
    </row>
    <row r="9" spans="1:16" ht="26" x14ac:dyDescent="0.35">
      <c r="A9" s="633"/>
      <c r="B9" s="634" t="s">
        <v>208</v>
      </c>
      <c r="C9" s="633"/>
      <c r="D9" s="633"/>
      <c r="E9" s="633"/>
      <c r="F9" s="633"/>
      <c r="G9" s="633"/>
      <c r="H9" s="633"/>
      <c r="I9" s="633"/>
      <c r="J9" s="633"/>
      <c r="K9" s="633"/>
      <c r="L9" s="633"/>
      <c r="M9" s="633"/>
      <c r="N9" s="633"/>
      <c r="O9" s="633"/>
      <c r="P9" s="633"/>
    </row>
    <row r="10" spans="1:16" ht="26" x14ac:dyDescent="0.35">
      <c r="A10" s="633"/>
      <c r="B10" s="634" t="s">
        <v>209</v>
      </c>
      <c r="C10" s="633"/>
      <c r="D10" s="633"/>
      <c r="E10" s="633"/>
      <c r="F10" s="633"/>
      <c r="G10" s="633"/>
      <c r="H10" s="633"/>
      <c r="I10" s="633"/>
      <c r="J10" s="633"/>
      <c r="K10" s="633"/>
      <c r="L10" s="633"/>
      <c r="M10" s="633"/>
      <c r="N10" s="633"/>
      <c r="O10" s="633"/>
      <c r="P10" s="633"/>
    </row>
    <row r="11" spans="1:16" ht="26" x14ac:dyDescent="0.35">
      <c r="A11" s="633"/>
      <c r="B11" s="634" t="s">
        <v>210</v>
      </c>
      <c r="C11" s="633"/>
      <c r="D11" s="633"/>
      <c r="E11" s="633"/>
      <c r="F11" s="633"/>
      <c r="G11" s="633"/>
      <c r="H11" s="633"/>
      <c r="I11" s="633"/>
      <c r="J11" s="633"/>
      <c r="K11" s="633"/>
      <c r="L11" s="633"/>
      <c r="M11" s="633"/>
      <c r="N11" s="633"/>
      <c r="O11" s="633"/>
      <c r="P11" s="633"/>
    </row>
    <row r="12" spans="1:16" ht="26" x14ac:dyDescent="0.35">
      <c r="A12" s="633"/>
      <c r="B12" s="634" t="s">
        <v>211</v>
      </c>
      <c r="C12" s="633"/>
      <c r="D12" s="633"/>
      <c r="E12" s="633"/>
      <c r="F12" s="633"/>
      <c r="G12" s="633"/>
      <c r="H12" s="633"/>
      <c r="I12" s="633"/>
      <c r="J12" s="633"/>
      <c r="K12" s="633"/>
      <c r="L12" s="633"/>
      <c r="M12" s="633"/>
      <c r="N12" s="633"/>
      <c r="O12" s="633"/>
      <c r="P12" s="633"/>
    </row>
    <row r="13" spans="1:16" x14ac:dyDescent="0.35">
      <c r="A13" s="633"/>
      <c r="B13" s="634" t="s">
        <v>212</v>
      </c>
      <c r="C13" s="633"/>
      <c r="D13" s="633"/>
      <c r="E13" s="633"/>
      <c r="F13" s="633"/>
      <c r="G13" s="633"/>
      <c r="H13" s="633"/>
      <c r="I13" s="633"/>
      <c r="J13" s="633"/>
      <c r="K13" s="633"/>
      <c r="L13" s="633"/>
      <c r="M13" s="633"/>
      <c r="N13" s="633"/>
      <c r="O13" s="633"/>
      <c r="P13" s="633"/>
    </row>
    <row r="14" spans="1:16" x14ac:dyDescent="0.35">
      <c r="A14" s="633"/>
      <c r="B14" s="635" t="s">
        <v>656</v>
      </c>
      <c r="C14" s="633"/>
      <c r="D14" s="633"/>
      <c r="E14" s="633"/>
      <c r="F14" s="633"/>
      <c r="G14" s="633"/>
      <c r="H14" s="633"/>
      <c r="I14" s="633"/>
      <c r="J14" s="633"/>
      <c r="K14" s="633"/>
      <c r="L14" s="633"/>
      <c r="M14" s="633"/>
      <c r="N14" s="633"/>
      <c r="O14" s="633"/>
      <c r="P14" s="633"/>
    </row>
    <row r="15" spans="1:16" s="87" customFormat="1" ht="15.5" x14ac:dyDescent="0.35">
      <c r="A15" s="550">
        <v>1</v>
      </c>
      <c r="B15" s="290" t="s">
        <v>361</v>
      </c>
      <c r="C15" s="428"/>
      <c r="D15" s="431"/>
      <c r="E15" s="431"/>
      <c r="F15" s="431"/>
      <c r="G15" s="431"/>
      <c r="H15" s="431"/>
      <c r="I15" s="431"/>
      <c r="J15" s="431"/>
      <c r="K15" s="431"/>
      <c r="L15" s="431"/>
      <c r="M15" s="431"/>
      <c r="N15" s="431"/>
      <c r="O15" s="431"/>
      <c r="P15" s="431"/>
    </row>
    <row r="16" spans="1:16" s="87" customFormat="1" ht="15.5" x14ac:dyDescent="0.35">
      <c r="A16" s="550">
        <v>2</v>
      </c>
      <c r="B16" s="290" t="s">
        <v>360</v>
      </c>
      <c r="C16" s="428"/>
      <c r="D16" s="431"/>
      <c r="E16" s="431"/>
      <c r="F16" s="431"/>
      <c r="G16" s="431"/>
      <c r="H16" s="431"/>
      <c r="I16" s="431"/>
      <c r="J16" s="431"/>
      <c r="K16" s="431"/>
      <c r="L16" s="431"/>
      <c r="M16" s="431"/>
      <c r="N16" s="431"/>
      <c r="O16" s="431"/>
      <c r="P16" s="431"/>
    </row>
    <row r="17" spans="1:16" s="87" customFormat="1" ht="31" x14ac:dyDescent="0.35">
      <c r="A17" s="550">
        <v>3</v>
      </c>
      <c r="B17" s="290" t="s">
        <v>655</v>
      </c>
      <c r="C17" s="428"/>
      <c r="D17" s="431"/>
      <c r="E17" s="431"/>
      <c r="F17" s="431"/>
      <c r="G17" s="431"/>
      <c r="H17" s="431"/>
      <c r="I17" s="431"/>
      <c r="J17" s="431"/>
      <c r="K17" s="431"/>
      <c r="L17" s="431"/>
      <c r="M17" s="431"/>
      <c r="N17" s="431"/>
      <c r="O17" s="431"/>
      <c r="P17" s="431"/>
    </row>
    <row r="18" spans="1:16" s="87" customFormat="1" ht="31" x14ac:dyDescent="0.35">
      <c r="A18" s="550">
        <v>4</v>
      </c>
      <c r="B18" s="290" t="s">
        <v>366</v>
      </c>
      <c r="C18" s="428"/>
      <c r="D18" s="431"/>
      <c r="E18" s="431"/>
      <c r="F18" s="431"/>
      <c r="G18" s="431"/>
      <c r="H18" s="431"/>
      <c r="I18" s="431"/>
      <c r="J18" s="431"/>
      <c r="K18" s="431"/>
      <c r="L18" s="431"/>
      <c r="M18" s="431"/>
      <c r="N18" s="431"/>
      <c r="O18" s="431"/>
      <c r="P18" s="431"/>
    </row>
    <row r="19" spans="1:16" s="87" customFormat="1" ht="15.5" x14ac:dyDescent="0.35">
      <c r="A19" s="550">
        <v>5</v>
      </c>
      <c r="B19" s="290" t="s">
        <v>342</v>
      </c>
      <c r="C19" s="428"/>
      <c r="D19" s="431"/>
      <c r="E19" s="431"/>
      <c r="F19" s="431"/>
      <c r="G19" s="431"/>
      <c r="H19" s="431"/>
      <c r="I19" s="431"/>
      <c r="J19" s="431"/>
      <c r="K19" s="431"/>
      <c r="L19" s="431"/>
      <c r="M19" s="431"/>
      <c r="N19" s="431"/>
      <c r="O19" s="431"/>
      <c r="P19" s="431"/>
    </row>
    <row r="20" spans="1:16" s="87" customFormat="1" ht="15.5" x14ac:dyDescent="0.35">
      <c r="A20" s="550">
        <v>6</v>
      </c>
      <c r="B20" s="290" t="s">
        <v>341</v>
      </c>
      <c r="C20" s="428"/>
      <c r="D20" s="431"/>
      <c r="E20" s="431"/>
      <c r="F20" s="431"/>
      <c r="G20" s="431"/>
      <c r="H20" s="431"/>
      <c r="I20" s="431"/>
      <c r="J20" s="431"/>
      <c r="K20" s="431"/>
      <c r="L20" s="431"/>
      <c r="M20" s="431"/>
      <c r="N20" s="431"/>
      <c r="O20" s="431"/>
      <c r="P20" s="431"/>
    </row>
    <row r="21" spans="1:16" s="87" customFormat="1" ht="31" x14ac:dyDescent="0.35">
      <c r="A21" s="550">
        <v>7</v>
      </c>
      <c r="B21" s="290" t="s">
        <v>364</v>
      </c>
      <c r="C21" s="428"/>
      <c r="D21" s="431"/>
      <c r="E21" s="431"/>
      <c r="F21" s="431"/>
      <c r="G21" s="431"/>
      <c r="H21" s="431"/>
      <c r="I21" s="431"/>
      <c r="J21" s="431"/>
      <c r="K21" s="431"/>
      <c r="L21" s="431"/>
      <c r="M21" s="431"/>
      <c r="N21" s="431"/>
      <c r="O21" s="431"/>
      <c r="P21" s="431"/>
    </row>
    <row r="22" spans="1:16" s="87" customFormat="1" ht="15.5" x14ac:dyDescent="0.35">
      <c r="A22" s="550">
        <v>8</v>
      </c>
      <c r="B22" s="290" t="s">
        <v>365</v>
      </c>
      <c r="C22" s="428"/>
      <c r="D22" s="431"/>
      <c r="E22" s="431"/>
      <c r="F22" s="431"/>
      <c r="G22" s="431"/>
      <c r="H22" s="431"/>
      <c r="I22" s="431"/>
      <c r="J22" s="431"/>
      <c r="K22" s="431"/>
      <c r="L22" s="431"/>
      <c r="M22" s="431"/>
      <c r="N22" s="431"/>
      <c r="O22" s="431"/>
      <c r="P22" s="431"/>
    </row>
    <row r="23" spans="1:16" s="87" customFormat="1" ht="15.5" x14ac:dyDescent="0.35">
      <c r="A23" s="550">
        <v>9</v>
      </c>
      <c r="B23" s="290" t="s">
        <v>367</v>
      </c>
      <c r="C23" s="428"/>
      <c r="D23" s="431"/>
      <c r="E23" s="431"/>
      <c r="F23" s="431"/>
      <c r="G23" s="431"/>
      <c r="H23" s="431"/>
      <c r="I23" s="431"/>
      <c r="J23" s="431"/>
      <c r="K23" s="431"/>
      <c r="L23" s="431"/>
      <c r="M23" s="431"/>
      <c r="N23" s="431"/>
      <c r="O23" s="431"/>
      <c r="P23" s="431"/>
    </row>
    <row r="24" spans="1:16" s="87" customFormat="1" ht="15.5" x14ac:dyDescent="0.35">
      <c r="A24" s="550">
        <v>10</v>
      </c>
      <c r="B24" s="290" t="s">
        <v>343</v>
      </c>
      <c r="C24" s="428"/>
      <c r="D24" s="431"/>
      <c r="E24" s="431"/>
      <c r="F24" s="431"/>
      <c r="G24" s="431"/>
      <c r="H24" s="431"/>
      <c r="I24" s="431"/>
      <c r="J24" s="431"/>
      <c r="K24" s="431"/>
      <c r="L24" s="431"/>
      <c r="M24" s="431"/>
      <c r="N24" s="431"/>
      <c r="O24" s="431"/>
      <c r="P24" s="431"/>
    </row>
    <row r="25" spans="1:16" s="87" customFormat="1" ht="15.5" x14ac:dyDescent="0.35">
      <c r="A25" s="550">
        <v>11</v>
      </c>
      <c r="B25" s="290" t="s">
        <v>344</v>
      </c>
      <c r="C25" s="428"/>
      <c r="D25" s="431"/>
      <c r="E25" s="431"/>
      <c r="F25" s="431"/>
      <c r="G25" s="431"/>
      <c r="H25" s="431"/>
      <c r="I25" s="431"/>
      <c r="J25" s="431"/>
      <c r="K25" s="431"/>
      <c r="L25" s="431"/>
      <c r="M25" s="431"/>
      <c r="N25" s="431"/>
      <c r="O25" s="431"/>
      <c r="P25" s="431"/>
    </row>
    <row r="26" spans="1:16" s="87" customFormat="1" ht="31" x14ac:dyDescent="0.35">
      <c r="A26" s="550">
        <v>12</v>
      </c>
      <c r="B26" s="290" t="s">
        <v>363</v>
      </c>
      <c r="C26" s="428"/>
      <c r="D26" s="431"/>
      <c r="E26" s="431"/>
      <c r="F26" s="431"/>
      <c r="G26" s="431"/>
      <c r="H26" s="431"/>
      <c r="I26" s="431"/>
      <c r="J26" s="431"/>
      <c r="K26" s="431"/>
      <c r="L26" s="431"/>
      <c r="M26" s="431"/>
      <c r="N26" s="431"/>
      <c r="O26" s="431"/>
      <c r="P26" s="431"/>
    </row>
    <row r="27" spans="1:16" s="87" customFormat="1" ht="15.5" x14ac:dyDescent="0.35">
      <c r="A27" s="550">
        <v>13</v>
      </c>
      <c r="B27" s="290" t="s">
        <v>362</v>
      </c>
      <c r="C27" s="428"/>
      <c r="D27" s="431"/>
      <c r="E27" s="431"/>
      <c r="F27" s="431"/>
      <c r="G27" s="431"/>
      <c r="H27" s="431"/>
      <c r="I27" s="431"/>
      <c r="J27" s="431"/>
      <c r="K27" s="431"/>
      <c r="L27" s="431"/>
      <c r="M27" s="431"/>
      <c r="N27" s="431"/>
      <c r="O27" s="431"/>
      <c r="P27" s="431"/>
    </row>
    <row r="28" spans="1:16" s="87" customFormat="1" ht="15.5" x14ac:dyDescent="0.35">
      <c r="A28" s="549"/>
      <c r="B28" s="290" t="s">
        <v>333</v>
      </c>
      <c r="C28" s="636"/>
      <c r="D28" s="637"/>
      <c r="E28" s="637"/>
      <c r="F28" s="637"/>
      <c r="G28" s="637"/>
      <c r="H28" s="637"/>
      <c r="I28" s="637"/>
      <c r="J28" s="637"/>
      <c r="K28" s="637"/>
      <c r="L28" s="637"/>
      <c r="M28" s="637"/>
      <c r="N28" s="637"/>
      <c r="O28" s="637"/>
      <c r="P28" s="637"/>
    </row>
    <row r="29" spans="1:16" s="87" customFormat="1" ht="15.5" x14ac:dyDescent="0.35">
      <c r="A29" s="550"/>
      <c r="B29" s="290" t="s">
        <v>334</v>
      </c>
      <c r="C29" s="428"/>
      <c r="D29" s="431"/>
      <c r="E29" s="431"/>
      <c r="F29" s="431"/>
      <c r="G29" s="431"/>
      <c r="H29" s="431"/>
      <c r="I29" s="431"/>
      <c r="J29" s="431"/>
      <c r="K29" s="431"/>
      <c r="L29" s="431"/>
      <c r="M29" s="431"/>
      <c r="N29" s="431"/>
      <c r="O29" s="431"/>
      <c r="P29" s="431"/>
    </row>
    <row r="30" spans="1:16" s="87" customFormat="1" ht="15.5" x14ac:dyDescent="0.35">
      <c r="A30" s="550"/>
      <c r="B30" s="290" t="s">
        <v>335</v>
      </c>
      <c r="C30" s="428"/>
      <c r="D30" s="431"/>
      <c r="E30" s="431"/>
      <c r="F30" s="431"/>
      <c r="G30" s="431"/>
      <c r="H30" s="431"/>
      <c r="I30" s="431"/>
      <c r="J30" s="431"/>
      <c r="K30" s="431"/>
      <c r="L30" s="431"/>
      <c r="M30" s="431"/>
      <c r="N30" s="431"/>
      <c r="O30" s="431"/>
      <c r="P30" s="431"/>
    </row>
    <row r="31" spans="1:16" s="87" customFormat="1" ht="31" x14ac:dyDescent="0.35">
      <c r="A31" s="549"/>
      <c r="B31" s="290" t="s">
        <v>336</v>
      </c>
      <c r="C31" s="428"/>
      <c r="D31" s="637"/>
      <c r="E31" s="431"/>
      <c r="F31" s="431"/>
      <c r="G31" s="431"/>
      <c r="H31" s="637"/>
      <c r="I31" s="431"/>
      <c r="J31" s="431"/>
      <c r="K31" s="431"/>
      <c r="L31" s="637"/>
      <c r="M31" s="431"/>
      <c r="N31" s="431"/>
      <c r="O31" s="431"/>
      <c r="P31" s="431"/>
    </row>
    <row r="32" spans="1:16" s="87" customFormat="1" ht="15.5" x14ac:dyDescent="0.35">
      <c r="A32" s="550"/>
      <c r="B32" s="290" t="s">
        <v>337</v>
      </c>
      <c r="C32" s="428"/>
      <c r="D32" s="431"/>
      <c r="E32" s="431"/>
      <c r="F32" s="431"/>
      <c r="G32" s="431"/>
      <c r="H32" s="431"/>
      <c r="I32" s="431"/>
      <c r="J32" s="431"/>
      <c r="K32" s="431"/>
      <c r="L32" s="431"/>
      <c r="M32" s="431"/>
      <c r="N32" s="431"/>
      <c r="O32" s="431"/>
      <c r="P32" s="431"/>
    </row>
    <row r="33" spans="1:16" s="87" customFormat="1" ht="15.5" x14ac:dyDescent="0.35">
      <c r="A33" s="550"/>
      <c r="B33" s="290" t="s">
        <v>339</v>
      </c>
      <c r="C33" s="428"/>
      <c r="D33" s="431"/>
      <c r="E33" s="431"/>
      <c r="F33" s="431"/>
      <c r="G33" s="431"/>
      <c r="H33" s="431"/>
      <c r="I33" s="431"/>
      <c r="J33" s="431"/>
      <c r="K33" s="431"/>
      <c r="L33" s="431"/>
      <c r="M33" s="431"/>
      <c r="N33" s="431"/>
      <c r="O33" s="431"/>
      <c r="P33" s="431"/>
    </row>
    <row r="34" spans="1:16" s="87" customFormat="1" ht="31" x14ac:dyDescent="0.35">
      <c r="A34" s="550"/>
      <c r="B34" s="290" t="s">
        <v>345</v>
      </c>
      <c r="C34" s="428"/>
      <c r="D34" s="431"/>
      <c r="E34" s="431"/>
      <c r="F34" s="431"/>
      <c r="G34" s="431"/>
      <c r="H34" s="431"/>
      <c r="I34" s="431"/>
      <c r="J34" s="431"/>
      <c r="K34" s="431"/>
      <c r="L34" s="431"/>
      <c r="M34" s="431"/>
      <c r="N34" s="431"/>
      <c r="O34" s="431"/>
      <c r="P34" s="431"/>
    </row>
    <row r="35" spans="1:16" s="87" customFormat="1" ht="15.5" x14ac:dyDescent="0.35">
      <c r="A35" s="550"/>
      <c r="B35" s="290" t="s">
        <v>346</v>
      </c>
      <c r="C35" s="428"/>
      <c r="D35" s="431"/>
      <c r="E35" s="431"/>
      <c r="F35" s="431"/>
      <c r="G35" s="431"/>
      <c r="H35" s="431"/>
      <c r="I35" s="431"/>
      <c r="J35" s="431"/>
      <c r="K35" s="431"/>
      <c r="L35" s="431"/>
      <c r="M35" s="431"/>
      <c r="N35" s="431"/>
      <c r="O35" s="431"/>
      <c r="P35" s="431"/>
    </row>
    <row r="36" spans="1:16" s="87" customFormat="1" ht="15.5" x14ac:dyDescent="0.35">
      <c r="A36" s="550"/>
      <c r="B36" s="290" t="s">
        <v>347</v>
      </c>
      <c r="C36" s="428"/>
      <c r="D36" s="431"/>
      <c r="E36" s="431"/>
      <c r="F36" s="431"/>
      <c r="G36" s="431"/>
      <c r="H36" s="431"/>
      <c r="I36" s="431"/>
      <c r="J36" s="431"/>
      <c r="K36" s="431"/>
      <c r="L36" s="431"/>
      <c r="M36" s="431"/>
      <c r="N36" s="431"/>
      <c r="O36" s="431"/>
      <c r="P36" s="431"/>
    </row>
    <row r="37" spans="1:16" s="87" customFormat="1" ht="15.5" x14ac:dyDescent="0.35">
      <c r="A37" s="550"/>
      <c r="B37" s="290" t="s">
        <v>348</v>
      </c>
      <c r="C37" s="428"/>
      <c r="D37" s="431"/>
      <c r="E37" s="431"/>
      <c r="F37" s="431"/>
      <c r="G37" s="431"/>
      <c r="H37" s="431"/>
      <c r="I37" s="431"/>
      <c r="J37" s="431"/>
      <c r="K37" s="431"/>
      <c r="L37" s="431"/>
      <c r="M37" s="431"/>
      <c r="N37" s="431"/>
      <c r="O37" s="431"/>
      <c r="P37" s="431"/>
    </row>
    <row r="38" spans="1:16" s="87" customFormat="1" ht="15.5" x14ac:dyDescent="0.35">
      <c r="A38" s="550"/>
      <c r="B38" s="290" t="s">
        <v>349</v>
      </c>
      <c r="C38" s="428"/>
      <c r="D38" s="431"/>
      <c r="E38" s="431"/>
      <c r="F38" s="431"/>
      <c r="G38" s="431"/>
      <c r="H38" s="431"/>
      <c r="I38" s="431"/>
      <c r="J38" s="431"/>
      <c r="K38" s="431"/>
      <c r="L38" s="431"/>
      <c r="M38" s="431"/>
      <c r="N38" s="431"/>
      <c r="O38" s="431"/>
      <c r="P38" s="431"/>
    </row>
    <row r="39" spans="1:16" s="87" customFormat="1" ht="15.5" x14ac:dyDescent="0.35">
      <c r="A39" s="550"/>
      <c r="B39" s="290" t="s">
        <v>350</v>
      </c>
      <c r="C39" s="428"/>
      <c r="D39" s="431"/>
      <c r="E39" s="431"/>
      <c r="F39" s="431"/>
      <c r="G39" s="431"/>
      <c r="H39" s="431"/>
      <c r="I39" s="431"/>
      <c r="J39" s="431"/>
      <c r="K39" s="431"/>
      <c r="L39" s="431"/>
      <c r="M39" s="431"/>
      <c r="N39" s="431"/>
      <c r="O39" s="431"/>
      <c r="P39" s="431"/>
    </row>
    <row r="40" spans="1:16" s="87" customFormat="1" ht="15.5" x14ac:dyDescent="0.35">
      <c r="A40" s="550"/>
      <c r="B40" s="290" t="s">
        <v>351</v>
      </c>
      <c r="C40" s="428"/>
      <c r="D40" s="431"/>
      <c r="E40" s="431"/>
      <c r="F40" s="431"/>
      <c r="G40" s="431"/>
      <c r="H40" s="431"/>
      <c r="I40" s="431"/>
      <c r="J40" s="431"/>
      <c r="K40" s="431"/>
      <c r="L40" s="431"/>
      <c r="M40" s="431"/>
      <c r="N40" s="431"/>
      <c r="O40" s="431"/>
      <c r="P40" s="431"/>
    </row>
    <row r="41" spans="1:16" s="87" customFormat="1" ht="15.5" x14ac:dyDescent="0.35">
      <c r="A41" s="550"/>
      <c r="B41" s="290" t="s">
        <v>352</v>
      </c>
      <c r="C41" s="428"/>
      <c r="D41" s="431"/>
      <c r="E41" s="431"/>
      <c r="F41" s="431"/>
      <c r="G41" s="431"/>
      <c r="H41" s="431"/>
      <c r="I41" s="431"/>
      <c r="J41" s="431"/>
      <c r="K41" s="431"/>
      <c r="L41" s="431"/>
      <c r="M41" s="431"/>
      <c r="N41" s="431"/>
      <c r="O41" s="431"/>
      <c r="P41" s="431"/>
    </row>
    <row r="42" spans="1:16" s="87" customFormat="1" ht="15.5" x14ac:dyDescent="0.35">
      <c r="A42" s="550"/>
      <c r="B42" s="290" t="s">
        <v>353</v>
      </c>
      <c r="C42" s="428"/>
      <c r="D42" s="431"/>
      <c r="E42" s="431"/>
      <c r="F42" s="431"/>
      <c r="G42" s="431"/>
      <c r="H42" s="431"/>
      <c r="I42" s="431"/>
      <c r="J42" s="431"/>
      <c r="K42" s="431"/>
      <c r="L42" s="431"/>
      <c r="M42" s="431"/>
      <c r="N42" s="431"/>
      <c r="O42" s="431"/>
      <c r="P42" s="431"/>
    </row>
    <row r="43" spans="1:16" s="87" customFormat="1" ht="31" x14ac:dyDescent="0.35">
      <c r="A43" s="550"/>
      <c r="B43" s="290" t="s">
        <v>354</v>
      </c>
      <c r="C43" s="428"/>
      <c r="D43" s="431"/>
      <c r="E43" s="431"/>
      <c r="F43" s="431"/>
      <c r="G43" s="431"/>
      <c r="H43" s="431"/>
      <c r="I43" s="431"/>
      <c r="J43" s="431"/>
      <c r="K43" s="431"/>
      <c r="L43" s="431"/>
      <c r="M43" s="431"/>
      <c r="N43" s="431"/>
      <c r="O43" s="431"/>
      <c r="P43" s="431"/>
    </row>
    <row r="44" spans="1:16" s="87" customFormat="1" ht="31" x14ac:dyDescent="0.35">
      <c r="A44" s="550"/>
      <c r="B44" s="290" t="s">
        <v>355</v>
      </c>
      <c r="C44" s="428"/>
      <c r="D44" s="431"/>
      <c r="E44" s="431"/>
      <c r="F44" s="431"/>
      <c r="G44" s="431"/>
      <c r="H44" s="431"/>
      <c r="I44" s="431"/>
      <c r="J44" s="431"/>
      <c r="K44" s="431"/>
      <c r="L44" s="431"/>
      <c r="M44" s="431"/>
      <c r="N44" s="431"/>
      <c r="O44" s="431"/>
      <c r="P44" s="431"/>
    </row>
    <row r="45" spans="1:16" s="87" customFormat="1" ht="31" x14ac:dyDescent="0.35">
      <c r="A45" s="550"/>
      <c r="B45" s="290" t="s">
        <v>356</v>
      </c>
      <c r="C45" s="428"/>
      <c r="D45" s="431"/>
      <c r="E45" s="431"/>
      <c r="F45" s="431"/>
      <c r="G45" s="431"/>
      <c r="H45" s="431"/>
      <c r="I45" s="431"/>
      <c r="J45" s="431"/>
      <c r="K45" s="431"/>
      <c r="L45" s="431"/>
      <c r="M45" s="431"/>
      <c r="N45" s="431"/>
      <c r="O45" s="431"/>
      <c r="P45" s="431"/>
    </row>
    <row r="46" spans="1:16" s="87" customFormat="1" ht="15.5" x14ac:dyDescent="0.35">
      <c r="A46" s="550"/>
      <c r="B46" s="290" t="s">
        <v>357</v>
      </c>
      <c r="C46" s="428"/>
      <c r="D46" s="431"/>
      <c r="E46" s="431"/>
      <c r="F46" s="431"/>
      <c r="G46" s="431"/>
      <c r="H46" s="431"/>
      <c r="I46" s="431"/>
      <c r="J46" s="431"/>
      <c r="K46" s="431"/>
      <c r="L46" s="431"/>
      <c r="M46" s="431"/>
      <c r="N46" s="431"/>
      <c r="O46" s="431"/>
      <c r="P46" s="431"/>
    </row>
    <row r="47" spans="1:16" s="87" customFormat="1" ht="15.5" x14ac:dyDescent="0.35">
      <c r="A47" s="550"/>
      <c r="B47" s="290" t="s">
        <v>358</v>
      </c>
      <c r="C47" s="428"/>
      <c r="D47" s="431"/>
      <c r="E47" s="431"/>
      <c r="F47" s="431"/>
      <c r="G47" s="431"/>
      <c r="H47" s="431"/>
      <c r="I47" s="431"/>
      <c r="J47" s="431"/>
      <c r="K47" s="431"/>
      <c r="L47" s="431"/>
      <c r="M47" s="431"/>
      <c r="N47" s="431"/>
      <c r="O47" s="431"/>
      <c r="P47" s="431"/>
    </row>
    <row r="48" spans="1:16" s="87" customFormat="1" ht="31" x14ac:dyDescent="0.35">
      <c r="A48" s="550"/>
      <c r="B48" s="290" t="s">
        <v>359</v>
      </c>
      <c r="C48" s="428"/>
      <c r="D48" s="431"/>
      <c r="E48" s="431"/>
      <c r="F48" s="431"/>
      <c r="G48" s="431"/>
      <c r="H48" s="431"/>
      <c r="I48" s="431"/>
      <c r="J48" s="431"/>
      <c r="K48" s="431"/>
      <c r="L48" s="431"/>
      <c r="M48" s="431"/>
      <c r="N48" s="431"/>
      <c r="O48" s="431"/>
      <c r="P48" s="431"/>
    </row>
    <row r="49" spans="1:16" s="87" customFormat="1" ht="31" x14ac:dyDescent="0.35">
      <c r="A49" s="550"/>
      <c r="B49" s="290" t="s">
        <v>368</v>
      </c>
      <c r="C49" s="428"/>
      <c r="D49" s="431"/>
      <c r="E49" s="431"/>
      <c r="F49" s="431"/>
      <c r="G49" s="431"/>
      <c r="H49" s="431"/>
      <c r="I49" s="431"/>
      <c r="J49" s="431"/>
      <c r="K49" s="431"/>
      <c r="L49" s="431"/>
      <c r="M49" s="431"/>
      <c r="N49" s="431"/>
      <c r="O49" s="431"/>
      <c r="P49" s="431"/>
    </row>
    <row r="50" spans="1:16" s="87" customFormat="1" ht="15.5" x14ac:dyDescent="0.35">
      <c r="A50" s="550"/>
      <c r="B50" s="290" t="s">
        <v>369</v>
      </c>
      <c r="C50" s="428"/>
      <c r="D50" s="431"/>
      <c r="E50" s="431"/>
      <c r="F50" s="431"/>
      <c r="G50" s="431"/>
      <c r="H50" s="431"/>
      <c r="I50" s="431"/>
      <c r="J50" s="431"/>
      <c r="K50" s="431"/>
      <c r="L50" s="431"/>
      <c r="M50" s="431"/>
      <c r="N50" s="431"/>
      <c r="O50" s="431"/>
      <c r="P50" s="431"/>
    </row>
    <row r="51" spans="1:16" s="87" customFormat="1" ht="15.5" x14ac:dyDescent="0.35">
      <c r="A51" s="550"/>
      <c r="B51" s="638"/>
      <c r="C51" s="428"/>
      <c r="D51" s="431"/>
      <c r="E51" s="431"/>
      <c r="F51" s="431"/>
      <c r="G51" s="431"/>
      <c r="H51" s="431"/>
      <c r="I51" s="431"/>
      <c r="J51" s="431"/>
      <c r="K51" s="431"/>
      <c r="L51" s="431"/>
      <c r="M51" s="431"/>
      <c r="N51" s="431"/>
      <c r="O51" s="431"/>
      <c r="P51" s="431"/>
    </row>
    <row r="52" spans="1:16" s="87" customFormat="1" ht="15.5" x14ac:dyDescent="0.35">
      <c r="A52" s="550"/>
      <c r="B52" s="638"/>
      <c r="C52" s="428"/>
      <c r="D52" s="431"/>
      <c r="E52" s="431"/>
      <c r="F52" s="431"/>
      <c r="G52" s="431"/>
      <c r="H52" s="431"/>
      <c r="I52" s="431"/>
      <c r="J52" s="431"/>
      <c r="K52" s="431"/>
      <c r="L52" s="431"/>
      <c r="M52" s="431"/>
      <c r="N52" s="431"/>
      <c r="O52" s="431"/>
      <c r="P52" s="431"/>
    </row>
    <row r="53" spans="1:16" s="87" customFormat="1" ht="38.25" customHeight="1" thickBot="1" x14ac:dyDescent="0.4">
      <c r="A53" s="873" t="s">
        <v>223</v>
      </c>
      <c r="B53" s="874"/>
      <c r="C53" s="630"/>
      <c r="D53" s="631">
        <f t="shared" ref="D53:L53" si="0">D28+D31</f>
        <v>0</v>
      </c>
      <c r="E53" s="631">
        <f t="shared" si="0"/>
        <v>0</v>
      </c>
      <c r="F53" s="631">
        <f t="shared" si="0"/>
        <v>0</v>
      </c>
      <c r="G53" s="631">
        <f t="shared" si="0"/>
        <v>0</v>
      </c>
      <c r="H53" s="631">
        <f t="shared" si="0"/>
        <v>0</v>
      </c>
      <c r="I53" s="631">
        <f t="shared" si="0"/>
        <v>0</v>
      </c>
      <c r="J53" s="631">
        <f t="shared" si="0"/>
        <v>0</v>
      </c>
      <c r="K53" s="631">
        <f t="shared" si="0"/>
        <v>0</v>
      </c>
      <c r="L53" s="631">
        <f t="shared" si="0"/>
        <v>0</v>
      </c>
      <c r="M53" s="631"/>
      <c r="N53" s="631"/>
      <c r="O53" s="631"/>
      <c r="P53" s="632"/>
    </row>
    <row r="54" spans="1:16" ht="15" thickTop="1" x14ac:dyDescent="0.35">
      <c r="A54" s="533"/>
      <c r="B54" s="1"/>
      <c r="C54" s="1"/>
      <c r="D54" s="826" t="s">
        <v>213</v>
      </c>
      <c r="E54" s="826"/>
      <c r="F54" s="826"/>
      <c r="G54" s="826"/>
      <c r="H54" s="826"/>
      <c r="I54" s="826"/>
      <c r="J54" s="826"/>
      <c r="K54" s="826"/>
      <c r="L54" s="826"/>
      <c r="M54" s="826"/>
      <c r="N54" s="826"/>
      <c r="O54" s="826"/>
      <c r="P54" s="826"/>
    </row>
    <row r="55" spans="1:16" x14ac:dyDescent="0.35">
      <c r="A55" s="533"/>
      <c r="B55" s="59"/>
      <c r="C55" s="1"/>
      <c r="E55" s="171"/>
      <c r="F55" s="171"/>
      <c r="G55" s="171"/>
      <c r="H55" s="171"/>
      <c r="I55" s="171"/>
      <c r="J55" s="171"/>
      <c r="K55" s="171"/>
      <c r="L55" s="171"/>
      <c r="M55" s="825" t="s">
        <v>214</v>
      </c>
      <c r="N55" s="825"/>
      <c r="O55" s="825"/>
      <c r="P55" s="825"/>
    </row>
    <row r="56" spans="1:16" ht="81.75" customHeight="1" x14ac:dyDescent="0.4">
      <c r="A56" s="864" t="s">
        <v>221</v>
      </c>
      <c r="B56" s="864"/>
      <c r="C56" s="864"/>
      <c r="D56" s="864"/>
      <c r="E56" s="864"/>
      <c r="F56" s="864"/>
      <c r="G56" s="864"/>
      <c r="H56" s="864"/>
      <c r="I56" s="864"/>
      <c r="J56" s="864"/>
      <c r="K56" s="864"/>
      <c r="L56" s="864"/>
      <c r="M56" s="2"/>
      <c r="N56" s="2"/>
      <c r="O56" s="2"/>
      <c r="P56" s="2"/>
    </row>
    <row r="57" spans="1:16" x14ac:dyDescent="0.35">
      <c r="A57" s="533"/>
      <c r="B57" s="138"/>
      <c r="C57" s="1"/>
      <c r="D57" s="825"/>
      <c r="E57" s="825"/>
      <c r="F57" s="825"/>
      <c r="G57" s="825"/>
      <c r="H57" s="825"/>
      <c r="I57" s="825"/>
      <c r="J57" s="825"/>
      <c r="K57" s="825"/>
      <c r="L57" s="825"/>
      <c r="M57" s="825"/>
      <c r="N57" s="825"/>
      <c r="O57" s="825"/>
      <c r="P57" s="825"/>
    </row>
    <row r="58" spans="1:16" x14ac:dyDescent="0.35">
      <c r="A58" s="533"/>
      <c r="B58" s="1"/>
      <c r="C58" s="1"/>
      <c r="D58" s="859"/>
      <c r="E58" s="859"/>
      <c r="F58" s="859"/>
      <c r="G58" s="859"/>
      <c r="H58" s="859"/>
      <c r="I58" s="859"/>
      <c r="J58" s="859"/>
      <c r="K58" s="859"/>
      <c r="L58" s="859"/>
      <c r="M58" s="859"/>
      <c r="N58" s="859"/>
      <c r="O58" s="859"/>
      <c r="P58" s="859"/>
    </row>
  </sheetData>
  <mergeCells count="19">
    <mergeCell ref="D58:P58"/>
    <mergeCell ref="P5:P6"/>
    <mergeCell ref="A53:B53"/>
    <mergeCell ref="D54:P54"/>
    <mergeCell ref="M55:P55"/>
    <mergeCell ref="A56:L56"/>
    <mergeCell ref="D57:P57"/>
    <mergeCell ref="A5:A6"/>
    <mergeCell ref="B5:B6"/>
    <mergeCell ref="C5:C6"/>
    <mergeCell ref="D5:G5"/>
    <mergeCell ref="H5:K5"/>
    <mergeCell ref="L5:O5"/>
    <mergeCell ref="G4:P4"/>
    <mergeCell ref="A1:B1"/>
    <mergeCell ref="D1:O1"/>
    <mergeCell ref="A2:B2"/>
    <mergeCell ref="D2:O2"/>
    <mergeCell ref="A3:P3"/>
  </mergeCells>
  <pageMargins left="0.17" right="0.17" top="0.32" bottom="0.22" header="0.3" footer="0.3"/>
  <pageSetup paperSize="9" scale="9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45AE5-F35B-4523-8466-191B86304C08}">
  <sheetPr>
    <pageSetUpPr fitToPage="1"/>
  </sheetPr>
  <dimension ref="A1:N57"/>
  <sheetViews>
    <sheetView zoomScale="94" zoomScaleNormal="94" workbookViewId="0">
      <pane xSplit="2" ySplit="5" topLeftCell="C20" activePane="bottomRight" state="frozen"/>
      <selection pane="topRight" activeCell="C1" sqref="C1"/>
      <selection pane="bottomLeft" activeCell="A6" sqref="A6"/>
      <selection pane="bottomRight" activeCell="B28" sqref="B28"/>
    </sheetView>
  </sheetViews>
  <sheetFormatPr defaultRowHeight="14.5" x14ac:dyDescent="0.35"/>
  <cols>
    <col min="1" max="1" width="4.90625" style="56" customWidth="1"/>
    <col min="2" max="2" width="52.08984375" style="57" customWidth="1"/>
    <col min="3" max="3" width="11.6328125" style="57" customWidth="1"/>
    <col min="4" max="4" width="7.7265625" style="57" customWidth="1"/>
    <col min="5" max="5" width="15.26953125" style="57" customWidth="1"/>
    <col min="6" max="6" width="6.90625" style="57" customWidth="1"/>
    <col min="7" max="7" width="14.08984375" style="57" customWidth="1"/>
    <col min="8" max="8" width="12" style="57" customWidth="1"/>
    <col min="9" max="9" width="18.81640625" customWidth="1"/>
    <col min="10" max="10" width="53.08984375" bestFit="1" customWidth="1"/>
  </cols>
  <sheetData>
    <row r="1" spans="1:14" ht="14.25" customHeight="1" x14ac:dyDescent="0.35">
      <c r="A1" s="878" t="s">
        <v>225</v>
      </c>
      <c r="B1" s="878"/>
      <c r="C1" s="814"/>
      <c r="D1" s="814"/>
      <c r="E1" s="814"/>
      <c r="F1" s="814"/>
      <c r="G1" s="814"/>
      <c r="H1" s="175"/>
      <c r="I1" s="176" t="s">
        <v>226</v>
      </c>
      <c r="J1" s="2"/>
      <c r="K1" s="34"/>
      <c r="L1" s="34"/>
      <c r="M1" s="34"/>
      <c r="N1" s="34"/>
    </row>
    <row r="2" spans="1:14" x14ac:dyDescent="0.35">
      <c r="A2" s="879" t="s">
        <v>227</v>
      </c>
      <c r="B2" s="879"/>
      <c r="C2" s="814"/>
      <c r="D2" s="814"/>
      <c r="E2" s="814"/>
      <c r="F2" s="814"/>
      <c r="G2" s="814"/>
      <c r="H2" s="175"/>
      <c r="I2" s="175"/>
      <c r="J2" s="2"/>
      <c r="K2" s="34"/>
      <c r="L2" s="34"/>
      <c r="M2" s="34"/>
      <c r="N2" s="34"/>
    </row>
    <row r="3" spans="1:14" ht="27" customHeight="1" x14ac:dyDescent="0.35">
      <c r="A3" s="817" t="s">
        <v>228</v>
      </c>
      <c r="B3" s="817"/>
      <c r="C3" s="817"/>
      <c r="D3" s="817"/>
      <c r="E3" s="817"/>
      <c r="F3" s="817"/>
      <c r="G3" s="817"/>
      <c r="H3" s="817"/>
      <c r="I3" s="817"/>
      <c r="J3" s="2"/>
      <c r="K3" s="34"/>
      <c r="L3" s="34"/>
      <c r="M3" s="34"/>
      <c r="N3" s="34"/>
    </row>
    <row r="4" spans="1:14" ht="15" thickBot="1" x14ac:dyDescent="0.4">
      <c r="A4" s="177"/>
      <c r="B4" s="177"/>
      <c r="C4" s="177"/>
      <c r="D4" s="177"/>
      <c r="E4" s="177"/>
      <c r="F4" s="177"/>
      <c r="G4" s="177"/>
      <c r="H4" s="177"/>
      <c r="I4" s="178" t="s">
        <v>229</v>
      </c>
      <c r="J4" s="2"/>
      <c r="K4" s="34"/>
      <c r="L4" s="34"/>
      <c r="M4" s="34"/>
      <c r="N4" s="34"/>
    </row>
    <row r="5" spans="1:14" ht="75" customHeight="1" thickTop="1" x14ac:dyDescent="0.35">
      <c r="A5" s="179" t="s">
        <v>5</v>
      </c>
      <c r="B5" s="180" t="s">
        <v>230</v>
      </c>
      <c r="C5" s="180" t="s">
        <v>231</v>
      </c>
      <c r="D5" s="180" t="s">
        <v>232</v>
      </c>
      <c r="E5" s="180" t="s">
        <v>233</v>
      </c>
      <c r="F5" s="180" t="s">
        <v>234</v>
      </c>
      <c r="G5" s="180" t="s">
        <v>235</v>
      </c>
      <c r="H5" s="180" t="s">
        <v>236</v>
      </c>
      <c r="I5" s="181" t="s">
        <v>16</v>
      </c>
      <c r="J5" s="2"/>
      <c r="K5" s="34"/>
      <c r="L5" s="34"/>
      <c r="M5" s="34"/>
      <c r="N5" s="34"/>
    </row>
    <row r="6" spans="1:14" ht="17.25" customHeight="1" x14ac:dyDescent="0.35">
      <c r="A6" s="182" t="s">
        <v>17</v>
      </c>
      <c r="B6" s="183" t="s">
        <v>237</v>
      </c>
      <c r="C6" s="184"/>
      <c r="D6" s="184"/>
      <c r="E6" s="184"/>
      <c r="F6" s="184"/>
      <c r="G6" s="184"/>
      <c r="H6" s="184"/>
      <c r="I6" s="185"/>
      <c r="J6" s="506" t="s">
        <v>659</v>
      </c>
      <c r="K6" s="34"/>
      <c r="L6" s="34"/>
      <c r="M6" s="34"/>
      <c r="N6" s="34"/>
    </row>
    <row r="7" spans="1:14" s="87" customFormat="1" ht="17.25" customHeight="1" x14ac:dyDescent="0.35">
      <c r="A7" s="186" t="s">
        <v>19</v>
      </c>
      <c r="B7" s="187" t="s">
        <v>620</v>
      </c>
      <c r="C7" s="187"/>
      <c r="D7" s="187"/>
      <c r="E7" s="188"/>
      <c r="F7" s="188"/>
      <c r="G7" s="188"/>
      <c r="H7" s="188"/>
      <c r="I7" s="189"/>
      <c r="J7" s="85"/>
      <c r="K7" s="86"/>
      <c r="L7" s="86"/>
      <c r="M7" s="86"/>
      <c r="N7" s="86"/>
    </row>
    <row r="8" spans="1:14" s="87" customFormat="1" ht="15.75" customHeight="1" x14ac:dyDescent="0.35">
      <c r="A8" s="164"/>
      <c r="B8" s="165"/>
      <c r="C8" s="165"/>
      <c r="D8" s="165"/>
      <c r="E8" s="161"/>
      <c r="F8" s="161"/>
      <c r="G8" s="161"/>
      <c r="H8" s="161"/>
      <c r="I8" s="163"/>
      <c r="J8" s="85"/>
      <c r="K8" s="86"/>
      <c r="L8" s="86"/>
      <c r="M8" s="86"/>
      <c r="N8" s="86"/>
    </row>
    <row r="9" spans="1:14" s="87" customFormat="1" ht="15.75" customHeight="1" x14ac:dyDescent="0.35">
      <c r="A9" s="164"/>
      <c r="B9" s="165"/>
      <c r="C9" s="165"/>
      <c r="D9" s="165"/>
      <c r="E9" s="161"/>
      <c r="F9" s="161"/>
      <c r="G9" s="161"/>
      <c r="H9" s="161"/>
      <c r="I9" s="163"/>
      <c r="J9" s="85"/>
      <c r="K9" s="86"/>
      <c r="L9" s="86"/>
      <c r="M9" s="86"/>
      <c r="N9" s="86"/>
    </row>
    <row r="10" spans="1:14" s="87" customFormat="1" ht="15.75" customHeight="1" x14ac:dyDescent="0.35">
      <c r="A10" s="164"/>
      <c r="B10" s="165"/>
      <c r="C10" s="165"/>
      <c r="D10" s="165"/>
      <c r="E10" s="161"/>
      <c r="F10" s="161"/>
      <c r="G10" s="161"/>
      <c r="H10" s="161"/>
      <c r="I10" s="163"/>
      <c r="J10" s="85"/>
      <c r="K10" s="86"/>
      <c r="L10" s="86"/>
      <c r="M10" s="86"/>
      <c r="N10" s="86"/>
    </row>
    <row r="11" spans="1:14" s="87" customFormat="1" ht="15.75" customHeight="1" x14ac:dyDescent="0.35">
      <c r="A11" s="159" t="s">
        <v>41</v>
      </c>
      <c r="B11" s="187" t="s">
        <v>620</v>
      </c>
      <c r="C11" s="160"/>
      <c r="D11" s="160"/>
      <c r="E11" s="166"/>
      <c r="F11" s="166"/>
      <c r="G11" s="166"/>
      <c r="H11" s="166"/>
      <c r="I11" s="168"/>
      <c r="J11" s="85"/>
      <c r="K11" s="86"/>
      <c r="L11" s="86"/>
      <c r="M11" s="86"/>
      <c r="N11" s="86"/>
    </row>
    <row r="12" spans="1:14" s="87" customFormat="1" ht="15.75" customHeight="1" x14ac:dyDescent="0.35">
      <c r="A12" s="164">
        <v>1</v>
      </c>
      <c r="B12" s="165"/>
      <c r="C12" s="165"/>
      <c r="D12" s="165"/>
      <c r="E12" s="166"/>
      <c r="F12" s="166"/>
      <c r="G12" s="166"/>
      <c r="H12" s="166"/>
      <c r="I12" s="168"/>
      <c r="J12" s="85"/>
      <c r="K12" s="86"/>
      <c r="L12" s="86"/>
      <c r="M12" s="86"/>
      <c r="N12" s="86"/>
    </row>
    <row r="13" spans="1:14" s="87" customFormat="1" ht="15.75" customHeight="1" x14ac:dyDescent="0.35">
      <c r="A13" s="164">
        <v>2</v>
      </c>
      <c r="B13" s="165"/>
      <c r="C13" s="165"/>
      <c r="D13" s="165"/>
      <c r="E13" s="166"/>
      <c r="F13" s="166"/>
      <c r="G13" s="166"/>
      <c r="H13" s="166"/>
      <c r="I13" s="168"/>
      <c r="J13" s="85"/>
      <c r="K13" s="86"/>
      <c r="L13" s="86"/>
      <c r="M13" s="86"/>
      <c r="N13" s="86"/>
    </row>
    <row r="14" spans="1:14" s="87" customFormat="1" ht="15.75" customHeight="1" x14ac:dyDescent="0.35">
      <c r="A14" s="164"/>
      <c r="B14" s="165"/>
      <c r="C14" s="165"/>
      <c r="D14" s="165"/>
      <c r="E14" s="166"/>
      <c r="F14" s="166"/>
      <c r="G14" s="166"/>
      <c r="H14" s="166"/>
      <c r="I14" s="168"/>
      <c r="J14" s="85"/>
      <c r="K14" s="86"/>
      <c r="L14" s="86"/>
      <c r="M14" s="86"/>
      <c r="N14" s="86"/>
    </row>
    <row r="15" spans="1:14" s="123" customFormat="1" ht="18.75" customHeight="1" x14ac:dyDescent="0.35">
      <c r="A15" s="159" t="s">
        <v>129</v>
      </c>
      <c r="B15" s="160" t="s">
        <v>238</v>
      </c>
      <c r="C15" s="160"/>
      <c r="D15" s="160"/>
      <c r="E15" s="15"/>
      <c r="F15" s="15"/>
      <c r="G15" s="15"/>
      <c r="H15" s="15"/>
      <c r="I15" s="17"/>
      <c r="J15" s="122"/>
      <c r="K15" s="41"/>
      <c r="L15" s="41"/>
      <c r="M15" s="41"/>
      <c r="N15" s="41"/>
    </row>
    <row r="16" spans="1:14" s="123" customFormat="1" ht="18.75" customHeight="1" x14ac:dyDescent="0.35">
      <c r="A16" s="190" t="s">
        <v>19</v>
      </c>
      <c r="B16" s="187" t="s">
        <v>857</v>
      </c>
      <c r="C16" s="187"/>
      <c r="D16" s="187"/>
      <c r="E16" s="15"/>
      <c r="F16" s="15"/>
      <c r="G16" s="15"/>
      <c r="H16" s="15"/>
      <c r="I16" s="17"/>
      <c r="J16" s="122"/>
      <c r="K16" s="41"/>
      <c r="L16" s="41"/>
      <c r="M16" s="41"/>
      <c r="N16" s="41"/>
    </row>
    <row r="17" spans="1:14" s="123" customFormat="1" ht="18" customHeight="1" x14ac:dyDescent="0.35">
      <c r="A17" s="190"/>
      <c r="B17" s="187"/>
      <c r="C17" s="187"/>
      <c r="D17" s="187"/>
      <c r="E17" s="15"/>
      <c r="F17" s="15"/>
      <c r="G17" s="15"/>
      <c r="H17" s="15"/>
      <c r="I17" s="17"/>
      <c r="J17" s="122"/>
      <c r="K17" s="41"/>
      <c r="L17" s="41"/>
      <c r="M17" s="41"/>
      <c r="N17" s="41"/>
    </row>
    <row r="18" spans="1:14" s="123" customFormat="1" ht="18" customHeight="1" x14ac:dyDescent="0.35">
      <c r="A18" s="190" t="s">
        <v>41</v>
      </c>
      <c r="B18" s="187" t="s">
        <v>858</v>
      </c>
      <c r="C18" s="187"/>
      <c r="D18" s="187"/>
      <c r="E18" s="15"/>
      <c r="F18" s="15"/>
      <c r="G18" s="15"/>
      <c r="H18" s="15"/>
      <c r="I18" s="17"/>
      <c r="J18" s="122"/>
      <c r="K18" s="41"/>
      <c r="L18" s="41"/>
      <c r="M18" s="41"/>
      <c r="N18" s="41"/>
    </row>
    <row r="19" spans="1:14" s="123" customFormat="1" ht="18" customHeight="1" x14ac:dyDescent="0.35">
      <c r="A19" s="191">
        <v>1</v>
      </c>
      <c r="B19" s="192" t="s">
        <v>859</v>
      </c>
      <c r="C19" s="192" t="s">
        <v>860</v>
      </c>
      <c r="D19" s="192" t="s">
        <v>861</v>
      </c>
      <c r="E19" s="193"/>
      <c r="F19" s="193">
        <v>2</v>
      </c>
      <c r="G19" s="193">
        <v>5</v>
      </c>
      <c r="H19" s="193"/>
      <c r="I19" s="194" t="s">
        <v>869</v>
      </c>
      <c r="J19" s="122"/>
      <c r="K19" s="41"/>
      <c r="L19" s="41"/>
      <c r="M19" s="41"/>
      <c r="N19" s="41"/>
    </row>
    <row r="20" spans="1:14" s="123" customFormat="1" ht="18" customHeight="1" x14ac:dyDescent="0.35">
      <c r="A20" s="191">
        <v>2</v>
      </c>
      <c r="B20" s="192" t="s">
        <v>862</v>
      </c>
      <c r="C20" s="192" t="s">
        <v>860</v>
      </c>
      <c r="D20" s="192" t="s">
        <v>863</v>
      </c>
      <c r="E20" s="193" t="s">
        <v>864</v>
      </c>
      <c r="F20" s="193"/>
      <c r="G20" s="193"/>
      <c r="H20" s="793">
        <v>50000</v>
      </c>
      <c r="I20" s="194"/>
      <c r="J20" s="122"/>
      <c r="K20" s="41"/>
      <c r="L20" s="41"/>
      <c r="M20" s="41"/>
      <c r="N20" s="41"/>
    </row>
    <row r="21" spans="1:14" s="123" customFormat="1" ht="18" customHeight="1" x14ac:dyDescent="0.35">
      <c r="A21" s="191">
        <v>3</v>
      </c>
      <c r="B21" s="192" t="s">
        <v>865</v>
      </c>
      <c r="C21" s="776"/>
      <c r="D21" s="776"/>
      <c r="E21" s="193"/>
      <c r="F21" s="193" t="s">
        <v>866</v>
      </c>
      <c r="G21" s="193"/>
      <c r="H21" s="793">
        <v>30000</v>
      </c>
      <c r="I21" s="194"/>
      <c r="J21" s="122"/>
      <c r="K21" s="41"/>
      <c r="L21" s="41"/>
      <c r="M21" s="41"/>
      <c r="N21" s="41"/>
    </row>
    <row r="22" spans="1:14" s="123" customFormat="1" ht="18" customHeight="1" x14ac:dyDescent="0.35">
      <c r="A22" s="191">
        <v>4</v>
      </c>
      <c r="B22" s="192" t="s">
        <v>867</v>
      </c>
      <c r="C22" s="776"/>
      <c r="D22" s="776"/>
      <c r="E22" s="193"/>
      <c r="F22" s="193">
        <v>2</v>
      </c>
      <c r="G22" s="193"/>
      <c r="H22" s="793">
        <v>20000</v>
      </c>
      <c r="I22" s="194"/>
      <c r="J22" s="122"/>
      <c r="K22" s="41"/>
      <c r="L22" s="41"/>
      <c r="M22" s="41"/>
      <c r="N22" s="41"/>
    </row>
    <row r="23" spans="1:14" s="123" customFormat="1" ht="18" customHeight="1" x14ac:dyDescent="0.35">
      <c r="A23" s="191">
        <v>5</v>
      </c>
      <c r="B23" s="192" t="s">
        <v>868</v>
      </c>
      <c r="C23" s="776"/>
      <c r="D23" s="776"/>
      <c r="E23" s="193"/>
      <c r="F23" s="193">
        <v>2</v>
      </c>
      <c r="G23" s="193"/>
      <c r="H23" s="793">
        <v>25000</v>
      </c>
      <c r="I23" s="194"/>
      <c r="J23" s="122"/>
      <c r="K23" s="41"/>
      <c r="L23" s="41"/>
      <c r="M23" s="41"/>
      <c r="N23" s="41"/>
    </row>
    <row r="24" spans="1:14" s="123" customFormat="1" ht="23" customHeight="1" x14ac:dyDescent="0.35">
      <c r="A24" s="191">
        <v>6</v>
      </c>
      <c r="B24" s="192" t="s">
        <v>870</v>
      </c>
      <c r="C24" s="192" t="s">
        <v>860</v>
      </c>
      <c r="D24" s="192" t="s">
        <v>871</v>
      </c>
      <c r="E24" s="193"/>
      <c r="F24" s="193">
        <v>2</v>
      </c>
      <c r="G24" s="193"/>
      <c r="H24" s="793">
        <v>20000</v>
      </c>
      <c r="I24" s="194"/>
      <c r="J24" s="122"/>
      <c r="K24" s="41"/>
      <c r="L24" s="41"/>
      <c r="M24" s="41"/>
      <c r="N24" s="41"/>
    </row>
    <row r="25" spans="1:14" s="123" customFormat="1" ht="18" customHeight="1" x14ac:dyDescent="0.35">
      <c r="A25" s="191"/>
      <c r="B25" s="192"/>
      <c r="C25" s="192"/>
      <c r="D25" s="192"/>
      <c r="E25" s="193"/>
      <c r="F25" s="193"/>
      <c r="G25" s="193"/>
      <c r="H25" s="193"/>
      <c r="I25" s="194"/>
      <c r="J25" s="122"/>
      <c r="K25" s="41"/>
      <c r="L25" s="41"/>
      <c r="M25" s="41"/>
      <c r="N25" s="41"/>
    </row>
    <row r="26" spans="1:14" s="123" customFormat="1" ht="18" customHeight="1" thickBot="1" x14ac:dyDescent="0.4">
      <c r="A26" s="880" t="s">
        <v>239</v>
      </c>
      <c r="B26" s="881"/>
      <c r="C26" s="195"/>
      <c r="D26" s="195"/>
      <c r="E26" s="169"/>
      <c r="F26" s="169"/>
      <c r="G26" s="169"/>
      <c r="H26" s="169"/>
      <c r="I26" s="170"/>
      <c r="J26" s="122"/>
      <c r="K26" s="41"/>
      <c r="L26" s="41"/>
      <c r="M26" s="41"/>
      <c r="N26" s="41"/>
    </row>
    <row r="27" spans="1:14" ht="15" thickTop="1" x14ac:dyDescent="0.35">
      <c r="A27" s="196"/>
      <c r="B27" s="197"/>
      <c r="C27" s="197"/>
      <c r="D27" s="197"/>
      <c r="E27" s="197"/>
      <c r="F27" s="197"/>
      <c r="G27" s="197"/>
      <c r="H27" s="197"/>
      <c r="I27" s="198"/>
      <c r="J27" s="2"/>
      <c r="K27" s="34"/>
      <c r="L27" s="34"/>
      <c r="M27" s="34"/>
      <c r="N27" s="34"/>
    </row>
    <row r="28" spans="1:14" ht="15" customHeight="1" x14ac:dyDescent="0.35">
      <c r="G28" s="199"/>
      <c r="H28" s="228" t="s">
        <v>42</v>
      </c>
      <c r="I28" s="227"/>
      <c r="J28" s="200"/>
      <c r="K28" s="200"/>
      <c r="L28" s="34"/>
      <c r="M28" s="34"/>
      <c r="N28" s="34"/>
    </row>
    <row r="29" spans="1:14" ht="15" customHeight="1" x14ac:dyDescent="0.35">
      <c r="A29" s="875" t="s">
        <v>240</v>
      </c>
      <c r="B29" s="875"/>
      <c r="C29" s="201"/>
      <c r="D29" s="201"/>
      <c r="E29" s="201"/>
      <c r="F29" s="201"/>
      <c r="G29" s="201"/>
      <c r="H29" s="814" t="s">
        <v>43</v>
      </c>
      <c r="I29" s="814"/>
      <c r="J29" s="59"/>
      <c r="K29" s="59"/>
      <c r="L29" s="34"/>
      <c r="M29" s="34"/>
      <c r="N29" s="34"/>
    </row>
    <row r="30" spans="1:14" ht="52.5" customHeight="1" x14ac:dyDescent="0.35">
      <c r="A30" s="876" t="s">
        <v>241</v>
      </c>
      <c r="B30" s="877"/>
      <c r="C30" s="877"/>
      <c r="D30" s="877"/>
      <c r="E30" s="877"/>
      <c r="F30" s="877"/>
      <c r="G30" s="877"/>
      <c r="H30" s="877"/>
      <c r="I30" s="877"/>
      <c r="J30" s="2"/>
      <c r="K30" s="34"/>
      <c r="L30" s="34"/>
      <c r="M30" s="34"/>
      <c r="N30" s="34"/>
    </row>
    <row r="31" spans="1:14" x14ac:dyDescent="0.35">
      <c r="A31" s="202" t="s">
        <v>242</v>
      </c>
      <c r="B31" s="1"/>
      <c r="C31" s="1"/>
      <c r="D31" s="1"/>
      <c r="E31" s="1"/>
      <c r="F31" s="1"/>
      <c r="G31" s="1"/>
      <c r="H31" s="1"/>
      <c r="I31" s="29"/>
      <c r="J31" s="2"/>
      <c r="K31" s="34"/>
      <c r="L31" s="34"/>
      <c r="M31" s="34"/>
      <c r="N31" s="34"/>
    </row>
    <row r="32" spans="1:14" x14ac:dyDescent="0.35">
      <c r="A32" s="29"/>
      <c r="B32" s="1"/>
      <c r="C32" s="1"/>
      <c r="D32" s="1"/>
      <c r="E32" s="1"/>
      <c r="F32" s="1"/>
      <c r="G32" s="1"/>
      <c r="H32" s="1"/>
      <c r="I32" s="2"/>
      <c r="J32" s="2"/>
      <c r="K32" s="34"/>
      <c r="L32" s="34"/>
      <c r="M32" s="34"/>
      <c r="N32" s="34"/>
    </row>
    <row r="33" spans="1:14" x14ac:dyDescent="0.35">
      <c r="A33" s="29"/>
      <c r="B33" s="1"/>
      <c r="C33" s="1"/>
      <c r="D33" s="1"/>
      <c r="E33" s="1"/>
      <c r="F33" s="1"/>
      <c r="G33" s="1"/>
      <c r="H33" s="1"/>
      <c r="I33" s="2"/>
      <c r="J33" s="2"/>
      <c r="K33" s="34"/>
      <c r="L33" s="34"/>
      <c r="M33" s="34"/>
      <c r="N33" s="34"/>
    </row>
    <row r="34" spans="1:14" x14ac:dyDescent="0.35">
      <c r="A34" s="29"/>
      <c r="B34" s="1"/>
      <c r="C34" s="1"/>
      <c r="D34" s="1"/>
      <c r="E34" s="1"/>
      <c r="F34" s="1"/>
      <c r="G34" s="1"/>
      <c r="H34" s="1"/>
      <c r="I34" s="2"/>
      <c r="J34" s="2"/>
      <c r="K34" s="34"/>
      <c r="L34" s="34"/>
      <c r="M34" s="34"/>
      <c r="N34" s="34"/>
    </row>
    <row r="35" spans="1:14" ht="13.5" customHeight="1" x14ac:dyDescent="0.35">
      <c r="A35" s="29"/>
      <c r="B35" s="1"/>
      <c r="C35" s="1"/>
      <c r="D35" s="1"/>
      <c r="E35" s="1"/>
      <c r="F35" s="1"/>
      <c r="G35" s="1"/>
      <c r="H35" s="1"/>
      <c r="I35" s="2"/>
      <c r="J35" s="2"/>
      <c r="K35" s="34"/>
      <c r="L35" s="34"/>
      <c r="M35" s="34"/>
      <c r="N35" s="34"/>
    </row>
    <row r="36" spans="1:14" x14ac:dyDescent="0.35">
      <c r="A36" s="29"/>
      <c r="B36" s="1"/>
      <c r="C36" s="1"/>
      <c r="D36" s="1"/>
      <c r="E36" s="1"/>
      <c r="F36" s="1"/>
      <c r="G36" s="1"/>
      <c r="H36" s="1"/>
      <c r="I36" s="2"/>
      <c r="J36" s="2"/>
      <c r="K36" s="34"/>
      <c r="L36" s="34"/>
      <c r="M36" s="34"/>
      <c r="N36" s="34"/>
    </row>
    <row r="37" spans="1:14" x14ac:dyDescent="0.35">
      <c r="A37" s="29"/>
      <c r="B37" s="1"/>
      <c r="C37" s="1"/>
      <c r="D37" s="1"/>
      <c r="E37" s="1"/>
      <c r="F37" s="1"/>
      <c r="G37" s="1"/>
      <c r="H37" s="1"/>
      <c r="I37" s="2"/>
      <c r="J37" s="2"/>
      <c r="K37" s="34"/>
      <c r="L37" s="34"/>
      <c r="M37" s="34"/>
      <c r="N37" s="34"/>
    </row>
    <row r="38" spans="1:14" x14ac:dyDescent="0.35">
      <c r="A38" s="29"/>
      <c r="B38" s="1"/>
      <c r="C38" s="1"/>
      <c r="D38" s="1"/>
      <c r="E38" s="1"/>
      <c r="F38" s="1"/>
      <c r="G38" s="1"/>
      <c r="H38" s="1"/>
      <c r="I38" s="2"/>
      <c r="J38" s="2"/>
      <c r="K38" s="34"/>
      <c r="L38" s="34"/>
      <c r="M38" s="34"/>
      <c r="N38" s="34"/>
    </row>
    <row r="39" spans="1:14" x14ac:dyDescent="0.35">
      <c r="A39" s="29"/>
      <c r="B39" s="1"/>
      <c r="C39" s="1"/>
      <c r="D39" s="1"/>
      <c r="E39" s="1"/>
      <c r="F39" s="1"/>
      <c r="G39" s="1"/>
      <c r="H39" s="1"/>
      <c r="I39" s="2"/>
      <c r="J39" s="2"/>
      <c r="K39" s="34"/>
      <c r="L39" s="34"/>
      <c r="M39" s="34"/>
      <c r="N39" s="34"/>
    </row>
    <row r="40" spans="1:14" x14ac:dyDescent="0.35">
      <c r="A40" s="29"/>
      <c r="B40" s="1"/>
      <c r="C40" s="1"/>
      <c r="D40" s="1"/>
      <c r="E40" s="1"/>
      <c r="F40" s="1"/>
      <c r="G40" s="1"/>
      <c r="H40" s="1"/>
      <c r="I40" s="2"/>
      <c r="J40" s="2"/>
      <c r="K40" s="34"/>
      <c r="L40" s="34"/>
      <c r="M40" s="34"/>
      <c r="N40" s="34"/>
    </row>
    <row r="41" spans="1:14" x14ac:dyDescent="0.35">
      <c r="A41" s="29"/>
      <c r="B41" s="1"/>
      <c r="C41" s="1"/>
      <c r="D41" s="1"/>
      <c r="E41" s="1"/>
      <c r="F41" s="1"/>
      <c r="G41" s="1"/>
      <c r="H41" s="1"/>
      <c r="I41" s="2"/>
      <c r="J41" s="2"/>
      <c r="K41" s="34"/>
      <c r="L41" s="34"/>
      <c r="M41" s="34"/>
      <c r="N41" s="34"/>
    </row>
    <row r="42" spans="1:14" x14ac:dyDescent="0.35">
      <c r="A42" s="29"/>
      <c r="B42" s="1"/>
      <c r="C42" s="1"/>
      <c r="D42" s="1"/>
      <c r="E42" s="1"/>
      <c r="F42" s="1"/>
      <c r="G42" s="1"/>
      <c r="H42" s="1"/>
      <c r="I42" s="2"/>
      <c r="J42" s="2"/>
      <c r="K42" s="34"/>
      <c r="L42" s="34"/>
      <c r="M42" s="34"/>
      <c r="N42" s="34"/>
    </row>
    <row r="43" spans="1:14" x14ac:dyDescent="0.35">
      <c r="A43" s="29"/>
      <c r="B43" s="1"/>
      <c r="C43" s="1"/>
      <c r="D43" s="1"/>
      <c r="E43" s="1"/>
      <c r="F43" s="1"/>
      <c r="G43" s="1"/>
      <c r="H43" s="1"/>
      <c r="I43" s="2"/>
      <c r="J43" s="2"/>
      <c r="K43" s="34"/>
      <c r="L43" s="34"/>
      <c r="M43" s="34"/>
      <c r="N43" s="34"/>
    </row>
    <row r="44" spans="1:14" x14ac:dyDescent="0.35">
      <c r="A44" s="29"/>
      <c r="B44" s="1"/>
      <c r="C44" s="1"/>
      <c r="D44" s="1"/>
      <c r="E44" s="1"/>
      <c r="F44" s="1"/>
      <c r="G44" s="1"/>
      <c r="H44" s="1"/>
      <c r="I44" s="2"/>
      <c r="J44" s="2"/>
      <c r="K44" s="34"/>
      <c r="L44" s="34"/>
      <c r="M44" s="34"/>
      <c r="N44" s="34"/>
    </row>
    <row r="45" spans="1:14" x14ac:dyDescent="0.35">
      <c r="A45" s="29"/>
      <c r="B45" s="1"/>
      <c r="C45" s="1"/>
      <c r="D45" s="1"/>
      <c r="E45" s="1"/>
      <c r="F45" s="1"/>
      <c r="G45" s="1"/>
      <c r="H45" s="1"/>
      <c r="I45" s="2"/>
      <c r="J45" s="2"/>
      <c r="K45" s="34"/>
      <c r="L45" s="34"/>
      <c r="M45" s="34"/>
      <c r="N45" s="34"/>
    </row>
    <row r="46" spans="1:14" x14ac:dyDescent="0.35">
      <c r="A46" s="29"/>
      <c r="B46" s="1"/>
      <c r="C46" s="1"/>
      <c r="D46" s="1"/>
      <c r="E46" s="1"/>
      <c r="F46" s="1"/>
      <c r="G46" s="1"/>
      <c r="H46" s="1"/>
      <c r="I46" s="2"/>
      <c r="J46" s="2"/>
      <c r="K46" s="34"/>
      <c r="L46" s="34"/>
      <c r="M46" s="34"/>
      <c r="N46" s="34"/>
    </row>
    <row r="47" spans="1:14" x14ac:dyDescent="0.35">
      <c r="A47" s="29"/>
      <c r="B47" s="1"/>
      <c r="C47" s="1"/>
      <c r="D47" s="1"/>
      <c r="E47" s="1"/>
      <c r="F47" s="1"/>
      <c r="G47" s="1"/>
      <c r="H47" s="1"/>
      <c r="I47" s="2"/>
      <c r="J47" s="2"/>
      <c r="K47" s="34"/>
      <c r="L47" s="34"/>
      <c r="M47" s="34"/>
      <c r="N47" s="34"/>
    </row>
    <row r="48" spans="1:14" x14ac:dyDescent="0.35">
      <c r="A48" s="29"/>
      <c r="B48" s="1"/>
      <c r="C48" s="1"/>
      <c r="D48" s="1"/>
      <c r="E48" s="1"/>
      <c r="F48" s="1"/>
      <c r="G48" s="1"/>
      <c r="H48" s="1"/>
      <c r="I48" s="2"/>
      <c r="J48" s="2"/>
      <c r="K48" s="34"/>
      <c r="L48" s="34"/>
      <c r="M48" s="34"/>
      <c r="N48" s="34"/>
    </row>
    <row r="49" spans="1:14" x14ac:dyDescent="0.35">
      <c r="A49" s="29"/>
      <c r="B49" s="1"/>
      <c r="C49" s="1"/>
      <c r="D49" s="1"/>
      <c r="E49" s="1"/>
      <c r="F49" s="1"/>
      <c r="G49" s="1"/>
      <c r="H49" s="1"/>
      <c r="I49" s="2"/>
      <c r="J49" s="2"/>
      <c r="K49" s="34"/>
      <c r="L49" s="34"/>
      <c r="M49" s="34"/>
      <c r="N49" s="34"/>
    </row>
    <row r="50" spans="1:14" x14ac:dyDescent="0.35">
      <c r="A50" s="29"/>
      <c r="B50" s="1"/>
      <c r="C50" s="1"/>
      <c r="D50" s="1"/>
      <c r="E50" s="1"/>
      <c r="F50" s="1"/>
      <c r="G50" s="1"/>
      <c r="H50" s="1"/>
      <c r="I50" s="2"/>
      <c r="J50" s="2"/>
      <c r="K50" s="34"/>
      <c r="L50" s="34"/>
      <c r="M50" s="34"/>
      <c r="N50" s="34"/>
    </row>
    <row r="51" spans="1:14" x14ac:dyDescent="0.35">
      <c r="A51" s="29"/>
      <c r="B51" s="1"/>
      <c r="C51" s="1"/>
      <c r="D51" s="1"/>
      <c r="E51" s="1"/>
      <c r="F51" s="1"/>
      <c r="G51" s="1"/>
      <c r="H51" s="1"/>
      <c r="I51" s="2"/>
      <c r="J51" s="2"/>
      <c r="K51" s="34"/>
      <c r="L51" s="34"/>
      <c r="M51" s="34"/>
      <c r="N51" s="34"/>
    </row>
    <row r="52" spans="1:14" x14ac:dyDescent="0.35">
      <c r="A52" s="29"/>
      <c r="B52" s="1"/>
      <c r="C52" s="1"/>
      <c r="D52" s="1"/>
      <c r="E52" s="1"/>
      <c r="F52" s="1"/>
      <c r="G52" s="1"/>
      <c r="H52" s="1"/>
      <c r="I52" s="2"/>
      <c r="J52" s="2"/>
      <c r="K52" s="34"/>
      <c r="L52" s="34"/>
      <c r="M52" s="34"/>
      <c r="N52" s="34"/>
    </row>
    <row r="53" spans="1:14" x14ac:dyDescent="0.35">
      <c r="A53" s="29"/>
      <c r="B53" s="1"/>
      <c r="C53" s="1"/>
      <c r="D53" s="1"/>
      <c r="E53" s="1"/>
      <c r="F53" s="1"/>
      <c r="G53" s="1"/>
      <c r="H53" s="1"/>
      <c r="I53" s="2"/>
      <c r="J53" s="2"/>
      <c r="K53" s="34"/>
      <c r="L53" s="34"/>
      <c r="M53" s="34"/>
      <c r="N53" s="34"/>
    </row>
    <row r="54" spans="1:14" x14ac:dyDescent="0.35">
      <c r="A54" s="29"/>
      <c r="B54" s="1"/>
      <c r="C54" s="1"/>
      <c r="D54" s="1"/>
      <c r="E54" s="1"/>
      <c r="F54" s="1"/>
      <c r="G54" s="1"/>
      <c r="H54" s="1"/>
      <c r="I54" s="2"/>
      <c r="J54" s="2"/>
      <c r="K54" s="34"/>
      <c r="L54" s="34"/>
      <c r="M54" s="34"/>
      <c r="N54" s="34"/>
    </row>
    <row r="55" spans="1:14" x14ac:dyDescent="0.35">
      <c r="A55" s="29"/>
      <c r="B55" s="1"/>
      <c r="C55" s="1"/>
      <c r="D55" s="1"/>
      <c r="E55" s="1"/>
      <c r="F55" s="1"/>
      <c r="G55" s="1"/>
      <c r="H55" s="1"/>
      <c r="I55" s="2"/>
      <c r="J55" s="2"/>
      <c r="K55" s="34"/>
      <c r="L55" s="34"/>
      <c r="M55" s="34"/>
      <c r="N55" s="34"/>
    </row>
    <row r="56" spans="1:14" x14ac:dyDescent="0.35">
      <c r="A56" s="29"/>
      <c r="B56" s="1"/>
      <c r="C56" s="1"/>
      <c r="D56" s="1"/>
      <c r="E56" s="1"/>
      <c r="F56" s="1"/>
      <c r="G56" s="1"/>
      <c r="H56" s="1"/>
      <c r="I56" s="2"/>
      <c r="J56" s="2"/>
      <c r="K56" s="34"/>
      <c r="L56" s="34"/>
      <c r="M56" s="34"/>
      <c r="N56" s="34"/>
    </row>
    <row r="57" spans="1:14" x14ac:dyDescent="0.35">
      <c r="A57" s="54"/>
      <c r="B57" s="55"/>
      <c r="C57" s="55"/>
      <c r="D57" s="55"/>
      <c r="E57" s="55"/>
      <c r="F57" s="55"/>
      <c r="G57" s="55"/>
      <c r="H57" s="55"/>
      <c r="I57" s="34"/>
      <c r="J57" s="34"/>
      <c r="K57" s="34"/>
      <c r="L57" s="34"/>
      <c r="M57" s="34"/>
      <c r="N57" s="34"/>
    </row>
  </sheetData>
  <mergeCells count="9">
    <mergeCell ref="A29:B29"/>
    <mergeCell ref="H29:I29"/>
    <mergeCell ref="A30:I30"/>
    <mergeCell ref="A1:B1"/>
    <mergeCell ref="C1:G1"/>
    <mergeCell ref="A2:B2"/>
    <mergeCell ref="C2:G2"/>
    <mergeCell ref="A3:I3"/>
    <mergeCell ref="A26:B26"/>
  </mergeCells>
  <pageMargins left="0.51" right="0.17" top="0.31" bottom="0.75" header="0.3" footer="0.3"/>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Trang tính</vt:lpstr>
      </vt:variant>
      <vt:variant>
        <vt:i4>21</vt:i4>
      </vt:variant>
      <vt:variant>
        <vt:lpstr>Phạm vi Có tên</vt:lpstr>
      </vt:variant>
      <vt:variant>
        <vt:i4>28</vt:i4>
      </vt:variant>
    </vt:vector>
  </HeadingPairs>
  <TitlesOfParts>
    <vt:vector size="49" baseType="lpstr">
      <vt:lpstr>Danh muc bieu</vt:lpstr>
      <vt:lpstr>Bieu 1a DH Chinh quy</vt:lpstr>
      <vt:lpstr>Bieu 1b Sau dai hoc</vt:lpstr>
      <vt:lpstr>Bieu 1c VLVH - TX</vt:lpstr>
      <vt:lpstr>Bieu 2a DH va tren DH</vt:lpstr>
      <vt:lpstr>Bieu 2b DT THPT THSP</vt:lpstr>
      <vt:lpstr>Bieu 3a-Tong gio chuan chi tiet</vt:lpstr>
      <vt:lpstr>Bieu 3b tong hop Truong</vt:lpstr>
      <vt:lpstr>Bieu 4-KP thuc hanh thi nghiem</vt:lpstr>
      <vt:lpstr>Bieu5-Nhu cau mua sam sua chua</vt:lpstr>
      <vt:lpstr>Bieu 6 P.TCCB update new</vt:lpstr>
      <vt:lpstr>Bieu7-ke hoach NCKH</vt:lpstr>
      <vt:lpstr>7a-KH xuat ban</vt:lpstr>
      <vt:lpstr>Bieu8-Dao tao ngan han</vt:lpstr>
      <vt:lpstr>Bieu 9a-Tong thu don vi dao tao</vt:lpstr>
      <vt:lpstr>9a Tong thu DH va SDH</vt:lpstr>
      <vt:lpstr>9b Tong thu THPT THSP LHS</vt:lpstr>
      <vt:lpstr>Bieu 9b Tong thu dvi hanh chinh</vt:lpstr>
      <vt:lpstr>Bieu 10-Tong chi</vt:lpstr>
      <vt:lpstr>Bieu 11 Chenh lech thu chi</vt:lpstr>
      <vt:lpstr>Bieu so 12 Chi phi con nguoi</vt:lpstr>
      <vt:lpstr>'Bieu 10-Tong chi'!Print_Titles</vt:lpstr>
      <vt:lpstr>'Bieu 1a DH Chinh quy'!Print_Titles</vt:lpstr>
      <vt:lpstr>'Bieu 1b Sau dai hoc'!Print_Titles</vt:lpstr>
      <vt:lpstr>'Bieu 1c VLVH - TX'!Print_Titles</vt:lpstr>
      <vt:lpstr>'Bieu 2a DH va tren DH'!Print_Titles</vt:lpstr>
      <vt:lpstr>'Bieu 2b DT THPT THSP'!Print_Titles</vt:lpstr>
      <vt:lpstr>'Bieu 3b tong hop Truong'!Print_Titles</vt:lpstr>
      <vt:lpstr>'Bieu 9a-Tong thu don vi dao tao'!Print_Titles</vt:lpstr>
      <vt:lpstr>'Bieu7-ke hoach NCKH'!Print_Titles</vt:lpstr>
      <vt:lpstr>'Danh muc bieu'!Print_Titles</vt:lpstr>
      <vt:lpstr>'9a Tong thu DH va SDH'!Vùng_In</vt:lpstr>
      <vt:lpstr>'Bieu 10-Tong chi'!Vùng_In</vt:lpstr>
      <vt:lpstr>'Bieu 11 Chenh lech thu chi'!Vùng_In</vt:lpstr>
      <vt:lpstr>'Bieu 1a DH Chinh quy'!Vùng_In</vt:lpstr>
      <vt:lpstr>'Bieu 1b Sau dai hoc'!Vùng_In</vt:lpstr>
      <vt:lpstr>'Bieu 1c VLVH - TX'!Vùng_In</vt:lpstr>
      <vt:lpstr>'Bieu 2a DH va tren DH'!Vùng_In</vt:lpstr>
      <vt:lpstr>'Bieu 2b DT THPT THSP'!Vùng_In</vt:lpstr>
      <vt:lpstr>'Bieu 3a-Tong gio chuan chi tiet'!Vùng_In</vt:lpstr>
      <vt:lpstr>'Bieu 3b tong hop Truong'!Vùng_In</vt:lpstr>
      <vt:lpstr>'Bieu 4-KP thuc hanh thi nghiem'!Vùng_In</vt:lpstr>
      <vt:lpstr>'Bieu 6 P.TCCB update new'!Vùng_In</vt:lpstr>
      <vt:lpstr>'Bieu 9a-Tong thu don vi dao tao'!Vùng_In</vt:lpstr>
      <vt:lpstr>'Bieu 9b Tong thu dvi hanh chinh'!Vùng_In</vt:lpstr>
      <vt:lpstr>'Bieu5-Nhu cau mua sam sua chua'!Vùng_In</vt:lpstr>
      <vt:lpstr>'Bieu7-ke hoach NCKH'!Vùng_In</vt:lpstr>
      <vt:lpstr>'Bieu8-Dao tao ngan han'!Vùng_In</vt:lpstr>
      <vt:lpstr>'Danh muc bieu'!Vùng_In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cp:lastPrinted>2021-10-29T01:21:34Z</cp:lastPrinted>
  <dcterms:created xsi:type="dcterms:W3CDTF">2021-10-22T06:56:26Z</dcterms:created>
  <dcterms:modified xsi:type="dcterms:W3CDTF">2022-03-14T02:37:05Z</dcterms:modified>
</cp:coreProperties>
</file>